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aliya.jakupova\Documents\01_HID\01_Pricing\Fargo Pricing\Fargo_Prices_for_CUSTOMERS\2025_РОЗНИЧНЫЙ ПРАЙС FARGO\"/>
    </mc:Choice>
  </mc:AlternateContent>
  <xr:revisionPtr revIDLastSave="0" documentId="13_ncr:1_{1F309F6B-3B09-4449-A0D3-3EB3B0010E2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Оглавление" sheetId="1" r:id="rId1"/>
    <sheet name="DTC1250e" sheetId="4" r:id="rId2"/>
    <sheet name="DTC1500" sheetId="22" r:id="rId3"/>
    <sheet name="DTC4250e" sheetId="23" r:id="rId4"/>
    <sheet name="DTC4500e" sheetId="24" r:id="rId5"/>
    <sheet name="5500LMX" sheetId="25" r:id="rId6"/>
    <sheet name="HDP5000e" sheetId="26" r:id="rId7"/>
    <sheet name="HDP6600" sheetId="27" r:id="rId8"/>
    <sheet name="Доп. модули" sheetId="28" r:id="rId9"/>
    <sheet name="Печат.головки" sheetId="29" r:id="rId10"/>
    <sheet name="ПО Asure ID" sheetId="30" r:id="rId11"/>
    <sheet name="Полноцв. и монохром. ленты" sheetId="31" r:id="rId12"/>
    <sheet name="Несущие ленты" sheetId="32" r:id="rId13"/>
    <sheet name="Ламинац. ленты" sheetId="33" r:id="rId14"/>
    <sheet name="Чистящие комплекты" sheetId="34" r:id="rId15"/>
    <sheet name="Карты и наклейки" sheetId="35" r:id="rId16"/>
    <sheet name="Полный прайс" sheetId="55" r:id="rId17"/>
  </sheets>
  <definedNames>
    <definedName name="k">Оглавление!#REF!</definedName>
    <definedName name="kof">#REF!</definedName>
    <definedName name="uan">#REF!</definedName>
    <definedName name="usd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21" roundtripDataChecksum="CsHHOFXSmjPmDtiABs9avykND0P3pg7oFx8d7b7iiYM="/>
    </ext>
  </extLst>
</workbook>
</file>

<file path=xl/calcChain.xml><?xml version="1.0" encoding="utf-8"?>
<calcChain xmlns="http://schemas.openxmlformats.org/spreadsheetml/2006/main">
  <c r="E232" i="55" l="1"/>
  <c r="E231" i="55"/>
  <c r="E230" i="55"/>
  <c r="E229" i="55"/>
  <c r="E228" i="55"/>
  <c r="E227" i="55"/>
  <c r="E226" i="55"/>
  <c r="E225" i="55"/>
  <c r="E224" i="55"/>
  <c r="E223" i="55"/>
  <c r="E222" i="55"/>
  <c r="E221" i="55"/>
  <c r="E220" i="55"/>
  <c r="E219" i="55"/>
  <c r="E218" i="55"/>
  <c r="E217" i="55"/>
  <c r="E216" i="55"/>
  <c r="E215" i="55"/>
  <c r="E214" i="55"/>
  <c r="E213" i="55"/>
  <c r="E212" i="55"/>
  <c r="E211" i="55"/>
  <c r="E210" i="55"/>
  <c r="E209" i="55"/>
  <c r="E208" i="55"/>
  <c r="E207" i="55"/>
  <c r="E206" i="55"/>
  <c r="E205" i="55"/>
  <c r="E204" i="55"/>
  <c r="E203" i="55"/>
  <c r="E202" i="55"/>
  <c r="E201" i="55"/>
  <c r="E200" i="55"/>
  <c r="E199" i="55"/>
  <c r="E198" i="55"/>
  <c r="E197" i="55"/>
  <c r="E196" i="55"/>
  <c r="E195" i="55"/>
  <c r="E194" i="55"/>
  <c r="E193" i="55"/>
  <c r="E192" i="55"/>
  <c r="E188" i="55"/>
  <c r="E187" i="55"/>
  <c r="E186" i="55"/>
  <c r="E185" i="55"/>
  <c r="E184" i="55"/>
  <c r="E183" i="55"/>
  <c r="E182" i="55"/>
  <c r="E181" i="55"/>
  <c r="E180" i="55"/>
  <c r="E191" i="55"/>
  <c r="E190" i="55"/>
  <c r="E189" i="55"/>
  <c r="E179" i="55"/>
  <c r="E178" i="55"/>
  <c r="E177" i="55"/>
  <c r="E176" i="55"/>
  <c r="E175" i="55"/>
  <c r="E174" i="55"/>
  <c r="E173" i="55"/>
  <c r="E172" i="55"/>
  <c r="E171" i="55"/>
  <c r="E170" i="55"/>
  <c r="E169" i="55"/>
  <c r="E168" i="55"/>
  <c r="E167" i="55"/>
  <c r="E166" i="55"/>
  <c r="E165" i="55"/>
  <c r="E164" i="55"/>
  <c r="E163" i="55"/>
  <c r="E162" i="55"/>
  <c r="E161" i="55"/>
  <c r="E160" i="55"/>
  <c r="E159" i="55"/>
  <c r="E158" i="55"/>
  <c r="E157" i="55"/>
  <c r="E156" i="55"/>
  <c r="E155" i="55"/>
  <c r="E154" i="55"/>
  <c r="E153" i="55"/>
  <c r="E152" i="55"/>
  <c r="E151" i="55"/>
  <c r="E150" i="55"/>
  <c r="E149" i="55"/>
  <c r="E148" i="55"/>
  <c r="E147" i="55"/>
  <c r="E146" i="55"/>
  <c r="E145" i="55"/>
  <c r="E144" i="55"/>
  <c r="E143" i="55"/>
  <c r="E142" i="55"/>
  <c r="E141" i="55"/>
  <c r="E140" i="55"/>
  <c r="E139" i="55"/>
  <c r="E138" i="55"/>
  <c r="E137" i="55"/>
  <c r="E136" i="55"/>
  <c r="E135" i="55"/>
  <c r="E134" i="55"/>
  <c r="E133" i="55"/>
  <c r="E132" i="55"/>
  <c r="E131" i="55"/>
  <c r="E130" i="55"/>
  <c r="E129" i="55"/>
  <c r="E128" i="55"/>
  <c r="E127" i="55"/>
  <c r="E126" i="55"/>
  <c r="E125" i="55"/>
  <c r="E124" i="55"/>
  <c r="E123" i="55"/>
  <c r="E122" i="55"/>
  <c r="E121" i="55"/>
  <c r="E120" i="55"/>
  <c r="E119" i="55"/>
  <c r="E118" i="55"/>
  <c r="E117" i="55"/>
  <c r="E116" i="55"/>
  <c r="E115" i="55"/>
  <c r="E114" i="55"/>
  <c r="E113" i="55"/>
  <c r="E112" i="55"/>
  <c r="E111" i="55"/>
  <c r="E110" i="55"/>
  <c r="E109" i="55"/>
  <c r="E108" i="55"/>
  <c r="E107" i="55"/>
  <c r="E106" i="55"/>
  <c r="E105" i="55"/>
  <c r="E104" i="55"/>
  <c r="E103" i="55"/>
  <c r="E102" i="55"/>
  <c r="E101" i="55"/>
  <c r="E100" i="55"/>
  <c r="E99" i="55"/>
  <c r="E98" i="55"/>
  <c r="E97" i="55"/>
  <c r="E96" i="55"/>
  <c r="E95" i="55"/>
  <c r="E94" i="55"/>
  <c r="E93" i="55"/>
  <c r="E92" i="55"/>
  <c r="E91" i="55"/>
  <c r="E90" i="55"/>
  <c r="E89" i="55"/>
  <c r="E88" i="55"/>
  <c r="E87" i="55"/>
  <c r="E86" i="55"/>
  <c r="E85" i="55"/>
  <c r="E84" i="55"/>
  <c r="E83" i="55"/>
  <c r="E82" i="55"/>
  <c r="E81" i="55"/>
  <c r="E80" i="55"/>
  <c r="E79" i="55"/>
  <c r="E78" i="55"/>
  <c r="E77" i="55"/>
  <c r="E76" i="55"/>
  <c r="E75" i="55"/>
  <c r="E74" i="55"/>
  <c r="E73" i="55"/>
  <c r="E72" i="55"/>
  <c r="E71" i="55"/>
  <c r="E70" i="55"/>
  <c r="E69" i="55"/>
  <c r="E68" i="55"/>
  <c r="E67" i="55"/>
  <c r="E66" i="55"/>
  <c r="E65" i="55"/>
  <c r="E64" i="55"/>
  <c r="E63" i="55"/>
  <c r="E62" i="55"/>
  <c r="E61" i="55"/>
  <c r="E60" i="55"/>
  <c r="E59" i="55"/>
  <c r="E58" i="55"/>
  <c r="E57" i="55"/>
  <c r="E56" i="55"/>
  <c r="E55" i="55"/>
  <c r="E54" i="55"/>
  <c r="E53" i="55"/>
  <c r="E52" i="55"/>
  <c r="E51" i="55"/>
  <c r="E50" i="55"/>
  <c r="E49" i="55"/>
  <c r="E48" i="55"/>
  <c r="E47" i="55"/>
  <c r="E46" i="55"/>
  <c r="E45" i="55"/>
  <c r="E44" i="55"/>
  <c r="E43" i="55"/>
  <c r="E42" i="55"/>
  <c r="E41" i="55"/>
  <c r="E40" i="55"/>
  <c r="E39" i="55"/>
  <c r="E38" i="55"/>
  <c r="E37" i="55"/>
  <c r="E36" i="55"/>
  <c r="E35" i="55"/>
  <c r="E34" i="55"/>
  <c r="E33" i="55"/>
  <c r="E32" i="55"/>
  <c r="E31" i="55"/>
  <c r="E30" i="55"/>
  <c r="E29" i="55"/>
  <c r="E28" i="55"/>
  <c r="E27" i="55"/>
  <c r="E26" i="55"/>
  <c r="E25" i="55"/>
  <c r="E24" i="55"/>
  <c r="E23" i="55"/>
  <c r="E22" i="55"/>
  <c r="E21" i="55"/>
  <c r="E20" i="55"/>
  <c r="E19" i="55"/>
  <c r="E18" i="55"/>
  <c r="E17" i="55"/>
  <c r="E16" i="55"/>
  <c r="E15" i="55"/>
  <c r="E14" i="55"/>
  <c r="E13" i="55"/>
  <c r="E12" i="55"/>
  <c r="E11" i="55"/>
  <c r="E10" i="55"/>
  <c r="E9" i="55"/>
  <c r="E8" i="55"/>
  <c r="E7" i="55"/>
  <c r="E6" i="55"/>
  <c r="E5" i="55"/>
  <c r="E4" i="55"/>
  <c r="E3" i="55"/>
  <c r="E16" i="4" l="1"/>
  <c r="E15" i="4"/>
  <c r="E14" i="4"/>
  <c r="E13" i="4" l="1"/>
  <c r="E15" i="28" l="1"/>
  <c r="E17" i="26"/>
  <c r="E10" i="26"/>
  <c r="E9" i="26"/>
  <c r="E8" i="26"/>
  <c r="E19" i="26"/>
  <c r="E18" i="26"/>
  <c r="E16" i="26"/>
  <c r="E15" i="26"/>
  <c r="E14" i="26"/>
  <c r="E17" i="28"/>
  <c r="E16" i="28"/>
  <c r="E18" i="30"/>
  <c r="E6" i="24"/>
  <c r="E6" i="23"/>
  <c r="E46" i="27"/>
  <c r="D24" i="34"/>
  <c r="D6" i="34"/>
  <c r="D11" i="34"/>
  <c r="D18" i="34"/>
  <c r="D12" i="34"/>
  <c r="D10" i="34"/>
  <c r="D15" i="33"/>
  <c r="D61" i="31"/>
  <c r="D27" i="31"/>
  <c r="D22" i="31"/>
  <c r="E8" i="29"/>
  <c r="E48" i="27"/>
  <c r="D40" i="34"/>
  <c r="D39" i="34"/>
  <c r="D37" i="34"/>
  <c r="E43" i="27"/>
  <c r="D4" i="32"/>
  <c r="E29" i="26"/>
  <c r="E4" i="27"/>
  <c r="D13" i="31"/>
  <c r="D11" i="31"/>
  <c r="D9" i="31"/>
  <c r="D54" i="31"/>
  <c r="D53" i="31"/>
  <c r="D51" i="31"/>
  <c r="D50" i="31"/>
  <c r="E13" i="25"/>
  <c r="E12" i="25"/>
  <c r="E10" i="25"/>
  <c r="E9" i="25"/>
  <c r="E59" i="24"/>
  <c r="E42" i="24"/>
  <c r="E14" i="24"/>
  <c r="E5" i="24"/>
  <c r="E36" i="23"/>
  <c r="D34" i="31"/>
  <c r="E20" i="23"/>
  <c r="D26" i="31"/>
  <c r="E12" i="23"/>
  <c r="D8" i="35"/>
  <c r="E36" i="22"/>
  <c r="D7" i="33"/>
  <c r="E22" i="22"/>
  <c r="E16" i="22"/>
  <c r="E7" i="22"/>
  <c r="D32" i="33"/>
  <c r="E37" i="26"/>
  <c r="E51" i="26"/>
  <c r="E52" i="27"/>
  <c r="D23" i="35"/>
  <c r="E25" i="25"/>
  <c r="E24" i="25"/>
  <c r="D16" i="35"/>
  <c r="E38" i="4"/>
  <c r="E22" i="4"/>
  <c r="E20" i="4"/>
  <c r="E18" i="4"/>
  <c r="E56" i="24"/>
  <c r="E33" i="23"/>
  <c r="E33" i="22"/>
  <c r="E35" i="4"/>
  <c r="D5" i="35"/>
  <c r="D33" i="34"/>
  <c r="E45" i="27"/>
  <c r="E44" i="26"/>
  <c r="E50" i="24"/>
  <c r="E27" i="23"/>
  <c r="E27" i="22"/>
  <c r="E29" i="4"/>
  <c r="E45" i="26"/>
  <c r="D34" i="34"/>
  <c r="E19" i="25"/>
  <c r="D27" i="34"/>
  <c r="E44" i="27"/>
  <c r="E43" i="26"/>
  <c r="E49" i="24"/>
  <c r="E26" i="23"/>
  <c r="E26" i="22"/>
  <c r="E28" i="4"/>
  <c r="D5" i="34"/>
  <c r="D17" i="34"/>
  <c r="D23" i="34"/>
  <c r="D38" i="34"/>
  <c r="D32" i="34"/>
  <c r="D31" i="34"/>
  <c r="E42" i="26"/>
  <c r="E48" i="24"/>
  <c r="E25" i="23"/>
  <c r="E27" i="4"/>
  <c r="D22" i="34"/>
  <c r="D16" i="34"/>
  <c r="D4" i="34"/>
  <c r="D30" i="34"/>
  <c r="E41" i="26"/>
  <c r="D3" i="35"/>
  <c r="E54" i="24"/>
  <c r="E31" i="23"/>
  <c r="E31" i="22"/>
  <c r="E33" i="4"/>
  <c r="D4" i="35"/>
  <c r="E15" i="23" l="1"/>
  <c r="D29" i="31"/>
  <c r="E11" i="25"/>
  <c r="D52" i="31"/>
  <c r="D49" i="31"/>
  <c r="E8" i="25"/>
  <c r="E13" i="23"/>
  <c r="E60" i="27"/>
  <c r="E62" i="27"/>
  <c r="E61" i="27"/>
  <c r="E59" i="27"/>
  <c r="E58" i="27"/>
  <c r="E57" i="27"/>
  <c r="E56" i="27"/>
  <c r="E55" i="27"/>
  <c r="E41" i="23"/>
  <c r="E19" i="28"/>
  <c r="E14" i="28"/>
  <c r="E13" i="28"/>
  <c r="E12" i="28"/>
  <c r="E12" i="26"/>
  <c r="E7" i="26"/>
  <c r="E11" i="26"/>
  <c r="E6" i="26"/>
  <c r="E26" i="26"/>
  <c r="E25" i="26"/>
  <c r="D22" i="35" l="1"/>
  <c r="D21" i="35"/>
  <c r="D18" i="35"/>
  <c r="D17" i="35"/>
  <c r="D15" i="35"/>
  <c r="D14" i="35"/>
  <c r="D10" i="35"/>
  <c r="D9" i="35"/>
  <c r="D7" i="35"/>
  <c r="D6" i="35"/>
  <c r="D21" i="34"/>
  <c r="D15" i="34"/>
  <c r="D9" i="34"/>
  <c r="D3" i="34"/>
  <c r="D39" i="33"/>
  <c r="D38" i="33"/>
  <c r="D37" i="33"/>
  <c r="D34" i="33"/>
  <c r="D33" i="33"/>
  <c r="D31" i="33"/>
  <c r="D30" i="33"/>
  <c r="D29" i="33"/>
  <c r="D28" i="33"/>
  <c r="D27" i="33"/>
  <c r="D26" i="33"/>
  <c r="D23" i="33"/>
  <c r="D22" i="33"/>
  <c r="D21" i="33"/>
  <c r="D18" i="33"/>
  <c r="D17" i="33"/>
  <c r="D16" i="33"/>
  <c r="D14" i="33"/>
  <c r="D13" i="33"/>
  <c r="D12" i="33"/>
  <c r="D11" i="33"/>
  <c r="D8" i="33"/>
  <c r="D6" i="33"/>
  <c r="D5" i="33"/>
  <c r="D4" i="33"/>
  <c r="D3" i="33"/>
  <c r="D8" i="32"/>
  <c r="D7" i="32"/>
  <c r="D3" i="32"/>
  <c r="D68" i="31"/>
  <c r="D67" i="31"/>
  <c r="D66" i="31"/>
  <c r="D65" i="31"/>
  <c r="D64" i="31"/>
  <c r="D60" i="31"/>
  <c r="D59" i="31"/>
  <c r="D58" i="31"/>
  <c r="D57" i="31"/>
  <c r="D46" i="31"/>
  <c r="D45" i="31"/>
  <c r="D44" i="31"/>
  <c r="D43" i="31"/>
  <c r="D42" i="31"/>
  <c r="D41" i="31"/>
  <c r="D40" i="31"/>
  <c r="D39" i="31"/>
  <c r="D36" i="31"/>
  <c r="D35" i="31"/>
  <c r="D33" i="31"/>
  <c r="D32" i="31"/>
  <c r="D31" i="31"/>
  <c r="D30" i="31"/>
  <c r="D28" i="31"/>
  <c r="D25" i="31"/>
  <c r="D21" i="31"/>
  <c r="D20" i="31"/>
  <c r="D19" i="31"/>
  <c r="D18" i="31"/>
  <c r="D15" i="31"/>
  <c r="D14" i="31"/>
  <c r="D12" i="31"/>
  <c r="D10" i="31"/>
  <c r="D8" i="31"/>
  <c r="D7" i="31"/>
  <c r="D6" i="31"/>
  <c r="D5" i="31"/>
  <c r="D4" i="31"/>
  <c r="E16" i="30"/>
  <c r="E15" i="30"/>
  <c r="E14" i="30"/>
  <c r="E13" i="30"/>
  <c r="E12" i="30"/>
  <c r="E11" i="30"/>
  <c r="E10" i="30"/>
  <c r="E7" i="30"/>
  <c r="E6" i="30"/>
  <c r="E5" i="30"/>
  <c r="E4" i="30"/>
  <c r="E10" i="28"/>
  <c r="E9" i="28"/>
  <c r="E8" i="28"/>
  <c r="E7" i="28"/>
  <c r="E6" i="28"/>
  <c r="E5" i="28"/>
  <c r="E4" i="28"/>
  <c r="E3" i="28"/>
  <c r="E6" i="29"/>
  <c r="E4" i="29"/>
  <c r="E41" i="27"/>
  <c r="E40" i="27"/>
  <c r="E39" i="27"/>
  <c r="E36" i="27"/>
  <c r="E34" i="27"/>
  <c r="E33" i="27"/>
  <c r="E32" i="27"/>
  <c r="E31" i="27"/>
  <c r="E30" i="27"/>
  <c r="E28" i="27"/>
  <c r="E27" i="27"/>
  <c r="E26" i="27"/>
  <c r="E25" i="27"/>
  <c r="E24" i="27"/>
  <c r="E23" i="27"/>
  <c r="E22" i="27"/>
  <c r="E21" i="27"/>
  <c r="E19" i="27"/>
  <c r="E18" i="27"/>
  <c r="E17" i="27"/>
  <c r="E16" i="27"/>
  <c r="E10" i="27"/>
  <c r="E9" i="27"/>
  <c r="E15" i="27"/>
  <c r="E14" i="27"/>
  <c r="E13" i="27"/>
  <c r="E12" i="27"/>
  <c r="E11" i="27"/>
  <c r="E8" i="27"/>
  <c r="E7" i="27"/>
  <c r="E6" i="27"/>
  <c r="E5" i="27"/>
  <c r="E51" i="27"/>
  <c r="E50" i="27"/>
  <c r="E37" i="27"/>
  <c r="E47" i="26"/>
  <c r="E39" i="26"/>
  <c r="E38" i="26"/>
  <c r="E36" i="26"/>
  <c r="E35" i="26"/>
  <c r="E34" i="26"/>
  <c r="E33" i="26"/>
  <c r="E32" i="26"/>
  <c r="E31" i="26"/>
  <c r="E28" i="26"/>
  <c r="E24" i="26"/>
  <c r="E23" i="26"/>
  <c r="E22" i="26"/>
  <c r="E5" i="26"/>
  <c r="E4" i="26"/>
  <c r="E50" i="26"/>
  <c r="E49" i="26"/>
  <c r="E17" i="25"/>
  <c r="E16" i="25"/>
  <c r="E15" i="25"/>
  <c r="E6" i="25"/>
  <c r="E5" i="25"/>
  <c r="E4" i="25"/>
  <c r="E27" i="25"/>
  <c r="E26" i="25"/>
  <c r="E23" i="25"/>
  <c r="E21" i="25"/>
  <c r="E43" i="24"/>
  <c r="E41" i="24"/>
  <c r="E40" i="24"/>
  <c r="E39" i="24"/>
  <c r="E38" i="24"/>
  <c r="E45" i="24"/>
  <c r="E44" i="24"/>
  <c r="E36" i="24"/>
  <c r="E35" i="24"/>
  <c r="E34" i="24"/>
  <c r="E33" i="24"/>
  <c r="E32" i="24"/>
  <c r="E31" i="24"/>
  <c r="E30" i="24"/>
  <c r="E29" i="24"/>
  <c r="E27" i="24"/>
  <c r="E26" i="24"/>
  <c r="E25" i="24"/>
  <c r="E24" i="24"/>
  <c r="E23" i="24"/>
  <c r="E22" i="24"/>
  <c r="E21" i="24"/>
  <c r="E20" i="24"/>
  <c r="E19" i="24"/>
  <c r="E17" i="24"/>
  <c r="E16" i="24"/>
  <c r="E15" i="24"/>
  <c r="E13" i="24"/>
  <c r="E18" i="24"/>
  <c r="E11" i="24"/>
  <c r="E10" i="24"/>
  <c r="E12" i="24"/>
  <c r="E7" i="24"/>
  <c r="E9" i="24"/>
  <c r="E8" i="24"/>
  <c r="E4" i="24"/>
  <c r="E61" i="24"/>
  <c r="E60" i="24"/>
  <c r="E58" i="24"/>
  <c r="E57" i="24"/>
  <c r="E55" i="24"/>
  <c r="E52" i="24"/>
  <c r="E47" i="24"/>
  <c r="E19" i="23"/>
  <c r="E18" i="23"/>
  <c r="E17" i="23"/>
  <c r="E9" i="23"/>
  <c r="E8" i="23"/>
  <c r="E7" i="23"/>
  <c r="E5" i="23"/>
  <c r="E4" i="23"/>
  <c r="E38" i="23"/>
  <c r="E37" i="23"/>
  <c r="E35" i="23"/>
  <c r="E34" i="23"/>
  <c r="E32" i="23"/>
  <c r="E29" i="23"/>
  <c r="E24" i="23"/>
  <c r="E22" i="23"/>
  <c r="E21" i="23"/>
  <c r="E16" i="23"/>
  <c r="E14" i="23"/>
  <c r="E11" i="23"/>
  <c r="E23" i="22"/>
  <c r="E21" i="22"/>
  <c r="E20" i="22"/>
  <c r="E19" i="22"/>
  <c r="E18" i="22"/>
  <c r="E15" i="22"/>
  <c r="E14" i="22"/>
  <c r="E13" i="22"/>
  <c r="E12" i="22"/>
  <c r="E10" i="22"/>
  <c r="E9" i="22"/>
  <c r="E8" i="22"/>
  <c r="E5" i="22"/>
  <c r="E6" i="22"/>
  <c r="E4" i="22"/>
  <c r="E38" i="22"/>
  <c r="E37" i="22"/>
  <c r="E35" i="22"/>
  <c r="E34" i="22"/>
  <c r="E32" i="22"/>
  <c r="E29" i="22"/>
  <c r="E25" i="22"/>
  <c r="E40" i="4"/>
  <c r="E39" i="4"/>
  <c r="E37" i="4"/>
  <c r="E36" i="4"/>
  <c r="E34" i="4"/>
  <c r="E31" i="4"/>
  <c r="E26" i="4"/>
  <c r="E24" i="4"/>
  <c r="E23" i="4"/>
  <c r="E21" i="4"/>
  <c r="E19" i="4"/>
  <c r="E17" i="4"/>
  <c r="E11" i="4"/>
  <c r="E10" i="4"/>
  <c r="E9" i="4"/>
  <c r="E8" i="4"/>
  <c r="E7" i="4"/>
  <c r="E6" i="4"/>
  <c r="E5" i="4"/>
  <c r="E4" i="4"/>
</calcChain>
</file>

<file path=xl/sharedStrings.xml><?xml version="1.0" encoding="utf-8"?>
<sst xmlns="http://schemas.openxmlformats.org/spreadsheetml/2006/main" count="1741" uniqueCount="602">
  <si>
    <t>(модели, опции и расходные материалы)</t>
  </si>
  <si>
    <t>1.1</t>
  </si>
  <si>
    <t>1.2</t>
  </si>
  <si>
    <t>1.3</t>
  </si>
  <si>
    <t>1.6</t>
  </si>
  <si>
    <t>1.7</t>
  </si>
  <si>
    <t>1.8</t>
  </si>
  <si>
    <t>1.5</t>
  </si>
  <si>
    <t>1.9</t>
  </si>
  <si>
    <t>Полноцветные и монохромные ленты</t>
  </si>
  <si>
    <t>Программное обеспечение</t>
  </si>
  <si>
    <t>Внутренние курсы валют</t>
  </si>
  <si>
    <t>Артикул</t>
  </si>
  <si>
    <t>Ленты для печати</t>
  </si>
  <si>
    <t>YMCK</t>
  </si>
  <si>
    <t>YMCKK</t>
  </si>
  <si>
    <t>YMCKO</t>
  </si>
  <si>
    <t>YMCKH</t>
  </si>
  <si>
    <t>Печатающие головки</t>
  </si>
  <si>
    <t xml:space="preserve">Принтеры HID Fargo для печати на пластиковых картах </t>
  </si>
  <si>
    <t>Fargo DTC1250e</t>
  </si>
  <si>
    <t>Fargo DTC1500</t>
  </si>
  <si>
    <t>Fargo DTC4250e</t>
  </si>
  <si>
    <t>Fargo DTC4500e</t>
  </si>
  <si>
    <t>1.4</t>
  </si>
  <si>
    <t>Fargo 5500LMX</t>
  </si>
  <si>
    <t>Fargo HDP5000</t>
  </si>
  <si>
    <t>Fargo HDP6600</t>
  </si>
  <si>
    <t>Оригинальные расходные материалы Fargo</t>
  </si>
  <si>
    <t>Asure ID</t>
  </si>
  <si>
    <t>Дополнительные модули</t>
  </si>
  <si>
    <t>Оригинальные карты и наклейки Fargo</t>
  </si>
  <si>
    <t>Несущие ленты для принтеров HDP</t>
  </si>
  <si>
    <t>2.1</t>
  </si>
  <si>
    <t>Комплекты для чистки</t>
  </si>
  <si>
    <t>Ламинационные ленты</t>
  </si>
  <si>
    <t>3.1</t>
  </si>
  <si>
    <t>3.2</t>
  </si>
  <si>
    <t>3.3</t>
  </si>
  <si>
    <t>3.4</t>
  </si>
  <si>
    <t>3.5</t>
  </si>
  <si>
    <t>USD</t>
  </si>
  <si>
    <t>₸</t>
  </si>
  <si>
    <t>DTC1250e -  Принтер прямой печати с разрешением 300 dpi</t>
  </si>
  <si>
    <t>Розница</t>
  </si>
  <si>
    <t>DTC1250e SS Карт-принтер FARGO DTC1250e SS + Eth для односторонней печати. Базовая модель+Ethernet с внутренним сервером печати</t>
  </si>
  <si>
    <t>DTC1250e DS Карт-принтер FARGO DTC1250e DS + Eth для двусторонней печати. Базовая модель+Ethernet с внутренним сервером печати</t>
  </si>
  <si>
    <t>DTC1250e SS Карт-принтер FARGO DTC1250e SS +Eth +MAG
для односторонней печати. Базовая модель + Ethernet с внутренним сервером печати + кодировщик магнитной полосы ISO</t>
  </si>
  <si>
    <t>DTC1250e SS Карт-принтер FARGO DTC1250e SS + MAG для односторонней печати. Базовая модель + кодировщик магнитной полосы ISO</t>
  </si>
  <si>
    <t>DTC1250e DS Карт-принтер FARGO DTC1250e DS + MAG для двусторонней печати. Базовая модель + кодировщик магнитной полосы ISO</t>
  </si>
  <si>
    <t>DTC1250e DS Карт-принтер FARGO DTC1250e DS +Eth +MAG для двусторонней печати. Базовая модель + Ethernet с внутренним сервером печати + кодировщик магнитной полосы ISO</t>
  </si>
  <si>
    <t>EZ YMCKO</t>
  </si>
  <si>
    <t>EZ YMCKOK</t>
  </si>
  <si>
    <t>ECO YMCKO</t>
  </si>
  <si>
    <t>Многоразовый картридж с лентой и чистящим валиком. Для DTC1250e. Полноцветная лента с полимерной черной панелью, прозрачным защитным слоем - 250 отпечатков</t>
  </si>
  <si>
    <t>Картридж для лент (ленты приобретаются отдельно)</t>
  </si>
  <si>
    <t>Многоразовый картридж с лентой и чистящим валиком. Для DTC1250e. Полноцветная лента с двумя полимерными чёрными панелями и прозрачным защитным слоем – 200 отпечатков</t>
  </si>
  <si>
    <t>Многоразовый картридж с полупанельной лентой и чистящим валиком. Для DTC1250e. Полноцветная полупанельная лента с полимерной чёрной панелью и прозрачным защитным слоем – 350 отпечатков</t>
  </si>
  <si>
    <t>Полноцветная лента с полимерной черной панелью, прозрачным защитным слоем - 250 отпечатков (картридж приобретается отдельно)</t>
  </si>
  <si>
    <t>Полупанельная полноцветная лента с полимерной черной панелью, прозрачным защитным слоем - 350 отпечатков (картридж приобретается отдельно)</t>
  </si>
  <si>
    <t>EZ Premium Resign Black</t>
  </si>
  <si>
    <t>EZ Standard Resign Black</t>
  </si>
  <si>
    <t>EZ White Cartridge</t>
  </si>
  <si>
    <t>ECO Refillable Cartridge</t>
  </si>
  <si>
    <t>Многоразовый картридж с лентой и чистящим валиком. Для DTC1250e/DTC4250e. Полимерная улучшенная ЧЕРНАЯ лента - 1000 отпечатков</t>
  </si>
  <si>
    <t>Многоразовый картридж с лентой и чистящим валиком. Для DTC1250e/DTC4250e.Полимерная стандартная ЧЕРНАЯ лента – 1000 отпечатков</t>
  </si>
  <si>
    <t>Многоразовый картридж с лентой и чистящим валиком. Для DTC1250e/DTC4250e. Сублимационная БЕЛАЯ лента - 1000 отпечатков</t>
  </si>
  <si>
    <t>EZ KO Cartridge</t>
  </si>
  <si>
    <t>EZ Gold Metallic Cartridge</t>
  </si>
  <si>
    <t>ECO Standard Black</t>
  </si>
  <si>
    <t>Многоразовый картридж с лентой и чистящим валиком.  Для DTC1250e/DTC4250e. Сублимационная лента “ЗОЛОТОЙ металлик” - 500 отпечатков</t>
  </si>
  <si>
    <t>Лента и чистящий валик. Для DTC1250e/DTC4250e. Полимерная стандартная ЧЕРНАЯ лента (для многоразового картриджа) – 1000 отпечатков</t>
  </si>
  <si>
    <t>Многоразовый картридж с лентой и чистящим валиком. Для DTC1250e/DTC4250e. Полимерная улучшенная ЧЕРНАЯ лента с прозрачным защитным слоем - 500 отпечатков</t>
  </si>
  <si>
    <t>Чистящий комплект (комплектация: 4 чистящие палочки, 10 чистящих карт). Для DTC1250e/DTC4250e/4500e.</t>
  </si>
  <si>
    <t>Двусторонние чистящие карты, 50 шт. Упаковка 50 чистящих карт с двусторонним липким слоем - 50 штук. Для DTC1250e/DTC4250e/4500e/HDP5000</t>
  </si>
  <si>
    <t>Чистящие карты с изопропиловым спиртом на 5 000 отпечатков - 10 штук. Для DTC1250e/DTC4250e/DTC4500e/HDP5000</t>
  </si>
  <si>
    <t>Чистящие материалы для принтера DTC1250e</t>
  </si>
  <si>
    <t>Печатающая головка для принтера DTC1250e</t>
  </si>
  <si>
    <t>Карты и наклейки, рекомендованные для печати на принтере DTC1250e</t>
  </si>
  <si>
    <t>Наклейка самоклеющаяся UltraCard, СR-79, Белая, 10mil (0,25мм), 500 штук</t>
  </si>
  <si>
    <t>Наклейка самоклеющаяся UltraCard, CR-80, Белая, 10mil (0,25мм), 500 штук</t>
  </si>
  <si>
    <t>Карта пластиковая UltraCard, CR-80, Белая, 10mil (0,25мм), 1000 штук</t>
  </si>
  <si>
    <t>Карта пластиковая UltraCard, CR-80, Белая, 30mil (0,76мм), 500 штук</t>
  </si>
  <si>
    <t>Карта пластиковая UltraCard, CR-80, Белая, 30mil (0,76мм), с магнитной полосой высокой коэрцетивности, 500 штук</t>
  </si>
  <si>
    <t>Карта пластиковая UltraCard, СR-80, Белая, 30mil (0,76мм), с магнитной полосой низкой коэрцетивности, 500 штук</t>
  </si>
  <si>
    <t>HID 82136. Усиленные композитные пластиковые карты FARGO UltraCard Premium СR-80, Белая, 30mil (0,76мм), 500 шт.</t>
  </si>
  <si>
    <t>HID 82137. Усиленные композитные пластиковые карты FARGO UltraCard Premium СR-80, Белая, 30mil (0,76м) с магнитной полосой высокой коэрцетивности, 500 шт</t>
  </si>
  <si>
    <t>DTC1500 -  Принтер прямой печати с разрешением 300 dpi</t>
  </si>
  <si>
    <t>Печатающая головка для принтера DTC1500</t>
  </si>
  <si>
    <t>Карты и наклейки, рекомендованные для печати на принтере DTC1500</t>
  </si>
  <si>
    <t>Чистящие материалы для принтера DTC1500</t>
  </si>
  <si>
    <t>Карт-принтер FARGO DTC1500 DS LAM1 Профессиональный ДВУсторонний сублимационный принтер-кодировщик HID FARGO DTC1500 DS LAM1 для полноцветной, монохромной печати и ОДНОсторонней ламинации пластиковых карт. Технология печати DTC. Термоперезапись. Входной лоток на 100 карт. Выходной лоток на 100 карт. USB, Ethernet. Базовая модель +модуль ОДНОсторонней ламинации</t>
  </si>
  <si>
    <t>Профессиональный ОДНОсторонний сублимационный принтер-кодировщик HID FARGO DTC1500 SS для полноцветной и монохромной печати пластиковых карт. Технология печати DTC. Термоперезапись. Входной лоток на 100 карт. Выходной лоток на 100 карт. USB, Ethernet Активация двусторонней печати программным образом (платная опция 047736).</t>
  </si>
  <si>
    <t>Карт-принтер FARGO DTC1500 DS Профессиональный ДВУсторонний сублимационный принтер-кодировщик HID FARGO DTC1500 DS для полноцветной и монохромной печати пластиковых карт. Технология печати DTC. Термоперезапись. Входной лоток на 100 карт. Выходной лоток на 100 карт. USB, Ethernet. Гарантия 3 года. Базовая модель</t>
  </si>
  <si>
    <t>Профессиональный ОДНОсторонний сублимационный принтер-кодировщик HID FARGO DTC1500 SS для полноцветной и монохромной печати пластиковых карт. Технология печати DTC. Термоперезапись. Входной лоток на 100 карт. Выходной лоток на 100 карт. USB, Ethernet + кодировщик магнитной полосы. Активация двусторонней печати программным образом (платная опция 047736).</t>
  </si>
  <si>
    <t>Карт-принтер FARGO DTC1500 DS Профессиональный ДВУсторонний сублимационный принтер-кодировщик HID FARGO DTC1500 DS для полноцветной и монохромной печати пластиковых карт. Технология печати DTC. Термоперезапись. Входной лоток на 100 карт. Выходной лоток на 100 карт. USB, Ethernet + кодировщик магнитной полосы. Гарантия 3 года. Базовая модель</t>
  </si>
  <si>
    <t>Карт-принтер FARGO DTC1500 DS LAM1 +MAG Профессиональный ДВУсторонний сублимационный принтер-кодировщик HID FARGO DTC1500 DS LAM1 для полноцветной, монохромной печати и ОДНОсторонней ламинации пластиковых карт. Технология печати DTC. Термоперезапись. Входной лоток на 100 карт. Выходной лоток на 100 карт. USB, Ethernet. Базовая модель +модуль ОДНОсторонней ламинации+Кодировщик магнитной полосы ISO</t>
  </si>
  <si>
    <t>Многоразовый картридж с лентой и чистящим валиком. Для DTC1500. Полноцветная лента с полимерной черной панелью, прозрачным защитным слоем - 500 отпечатков</t>
  </si>
  <si>
    <t>45610</t>
  </si>
  <si>
    <t>YMCKOK</t>
  </si>
  <si>
    <t>Полноцветная лента с двумя полимерными чёрными панелями и прозрачным защитным слоем + чистящий валик– 500 отпечатков</t>
  </si>
  <si>
    <t>Полноцветная лента с двумя полимерными чёрными панелями + чистящий валик – 500 отпечатков</t>
  </si>
  <si>
    <t>Resin Black</t>
  </si>
  <si>
    <t>Resin White</t>
  </si>
  <si>
    <t>Лента с полимерной черной панелью 3000 отпечатков</t>
  </si>
  <si>
    <t>Лента с полимерной белой панелью 2000 отпечатков</t>
  </si>
  <si>
    <t>Ламинационные материалы для принтера DTC1500</t>
  </si>
  <si>
    <t xml:space="preserve">Ламинационная лента FARGO PolyGuard 0.60 mil Лента ламинационная повышенной прочности чистая, толщина 0.0152 мм - 250 отпечатков. </t>
  </si>
  <si>
    <t>Ламинационная лента FARGO PolyGuard 1.00 mil Лента ламинационная повышенной прочности чистая, толщина 0.0253 мм - 250 отпечатков.</t>
  </si>
  <si>
    <t xml:space="preserve"> Ламинационная лента FARGO с голограммой PolyGuard 0.60 mil: Лента ламинационная повышенной прочности с голограммой высокого разрешения "Орбита", универсальное расположение голограммы, толщина 0.0152 мм - 250 отпечатков</t>
  </si>
  <si>
    <t xml:space="preserve"> Ламинационная лента FARGO с голограммой PolyGuard 1.00 mil: Лента ламинационная повышенной прочности с голограммой высокого разрешения "Орбита", универсальное расположение голограммы, толщина 0.0253 мм - 250 отпечатков.</t>
  </si>
  <si>
    <t>Ламинационная лента FARGO PolyGuard 0.60 mil 1/2 для карт с магнитной полосой PolyGuard 0.60 mil 1/2: Ламинационная лента повышенной прочности, чистая, полупанельная для стороны карты с магнитной полосой (только в картридж 2), толщина 0.0152 мм - 250 отпечатков.</t>
  </si>
  <si>
    <t>Ламинационная лента FARGO PolyGuard 1.00 mil 1/2 для карт с магнитной полосой PolyGuard 1.00 mil: Лента ламинационная полупанельная повышенной прочности чистая для стороны карты с магнитной полосой (только в картридж 2), толщина 0.0253 мм - 250 отпечатков.</t>
  </si>
  <si>
    <t>DTC4250e -  Принтер прямой печати с разрешением 300 dpi</t>
  </si>
  <si>
    <t>Чистящие материалы для принтера DTC4250e</t>
  </si>
  <si>
    <t>Печатающая головка для принтера DTC4250e</t>
  </si>
  <si>
    <t>Карты и наклейки, рекомендованные для печати на принтере DTC4250e</t>
  </si>
  <si>
    <t>DTC4250e SS ОДНОсторонний. Стандартный входной накопитель на 100 карт. Базовая модель, USB, Ethernet, внутренний сервер печати</t>
  </si>
  <si>
    <t>DTC4250e DS ДВУсторонний. Стандартный входной накопитель на 100 карт. Базовая модель, USB, Ethernet, внутренний сервер печати</t>
  </si>
  <si>
    <t>Принтер DTC4250e SS +MAG ОДНОсторонний. Стандартный входной накопитель на 100 карт. Базовая модель +Кодировщик магнитной полосы ISO</t>
  </si>
  <si>
    <t>Система персонализации карт FARGO DTC4250e SS System
Комплект: Принтер-кодировщик HID FARGO DTC4250e SS. ОДНОсторонний. Базовая модель +Цифровая high-end USB WEB-камера; +ПО AsureID 7 Express +Многоразовый картридж (EZ) c полноцветной печатной лентой YMCKO (250 отпечатков) и чистящим валиком; +Пластиковые карты UltraCard™ - 300 шт.; +Чистящие валики - 3 шт.; +USB кабель</t>
  </si>
  <si>
    <t>Принтер DTC4250e DS +MAG ДВУсторонний. Стандартный входной лоток на 100 карт. Базовая модель +Кодировщик магнитной полосы ISO</t>
  </si>
  <si>
    <t>YMCKO EZ</t>
  </si>
  <si>
    <t>Многоразовый картридж с лентой и чистящим валиком. Для DTC4250e. Полноцветная лента с полимерной чёрной панелью и прозрачным защитным слоем – 250 отпечатков</t>
  </si>
  <si>
    <t>YMCFKO EZ</t>
  </si>
  <si>
    <t>YMCFKOK EZ</t>
  </si>
  <si>
    <t>Многоразовый картридж с лентой и чистящим валиком. Для DTC4250e. Полноцветная лента с полимерной чёрной панелью, прозрачным защитным слоем и ультрафиолетовой панелью - 200 отпечатков</t>
  </si>
  <si>
    <t>Многоразовый картридж с лентой и чистящим валиком. Для DTC4250e. Полноцветная лента с двумя полимерными чёрными панелями и прозрачным защитным слоем – 200 отпечатков</t>
  </si>
  <si>
    <t xml:space="preserve">YMCKO 1/2 EZ </t>
  </si>
  <si>
    <t>Многоразовый картридж с лентой и чистящим валиком. Для DTC4250e. Полноцветная ПОЛУпанельная лента с полимерной черной панелью, прозрачным защитным слоем - 350 отпечатков</t>
  </si>
  <si>
    <t>DTC4500e -  Принтер прямой печати с разрешением 300 dpi</t>
  </si>
  <si>
    <t>Печатающая головка для принтера DTC4500e</t>
  </si>
  <si>
    <t>Карты и наклейки, рекомендованные для печати на принтере DTC4500e</t>
  </si>
  <si>
    <t>Принтер DTC4500e SS ОДНОсторонний. Стандартный двойной входной лоток на 200 карт. Базовая модель</t>
  </si>
  <si>
    <t>Принтер DTC4500e DS ДВУсторонний. Стандартный двойной входной лоток на 200 карт. Базовая модель</t>
  </si>
  <si>
    <t>Принтер DTC4500e SS +MAG ОДНОсторонний. Стандартный двойной входной лоток на 200 карт. Базовая модель +Кодировщик магнитной полосы ISO</t>
  </si>
  <si>
    <t>Принтер DTC4500e SS ОДНОсторонний. Стандартный двойной входной лоток на 200 карт с замком. Базовая модель</t>
  </si>
  <si>
    <t>Принтер DTC4500e SS +MAG ОДНОсторонний. Стандартный двойной входной лоток на 200 карт с замком. Базовая модель +Кодировщик магнитной полосы ISO</t>
  </si>
  <si>
    <t>Принтер DTC4500e SS ОДНОсторонний. Комбинированный входной-выходной лоток для карт. Базовая модель</t>
  </si>
  <si>
    <t>Принтер DTC4500e SS +MAG ОДНОсторонний. Комбинированный входной-выходной лоток для карт. Базовая модель +Кодировщик магнитной полосы ISO</t>
  </si>
  <si>
    <t>Принтер DTC4500e SS ОДНОсторонний. Комбинированный входной-выходной лоток для карт с замком. Базовая модель</t>
  </si>
  <si>
    <t>Принтер DTC4500e SS +MAG ОДНОсторонний. Комбинированный входной-выходной лоток для карт с замком. Базовая модель +Кодировщик магнитной полосы ISO</t>
  </si>
  <si>
    <t>Принтер DTC4500e DS +MAG ДВУсторонний. Стандартный двойной входной лоток на 200 карт. Базовая модель +Кодировщик магнитной полосы ISO</t>
  </si>
  <si>
    <t>Система персонализации карт FARGO DTC4500e SS System
Комплект: Принтер-кодировщик HID FARGO DTC4500e SS. ОДНОсторонний. Базовая модель +Цифровая high-end USB WEB-камера; +ПО AsureID 7 Express +Полноцветная печатная лента YMCKO (500 отпечатков) и чистящим валиком; +Пластиковые карты UltraCard™ - 300 шт.; +Чистящие валики - 3 шт.; +USB кабель</t>
  </si>
  <si>
    <t>Принтер DTC4500e DS ДВУсторонний. Стандартный двойной входной лоток на 200 карт с замком. Базовая модель</t>
  </si>
  <si>
    <t>Принтер DTC4500e DS +MAG ДВУсторонний. Стандартный двойной входной лоток на 200 карт с замком. Базовая модель +Кодировщик магнитной полосы ISO</t>
  </si>
  <si>
    <t>Принтер DTC4500e DS ДВУсторонний. Комбинированный входной-выходной лоток для карт. Базовая модель</t>
  </si>
  <si>
    <t>Принтер DTC4500e DS ДВУсторонний. Комбинированный входной-выходной лоток для карт с замком. Базовая модель</t>
  </si>
  <si>
    <t>Принтер DTC4500e DS +MAG ДВУсторонний. Комбинированный входной-выходной лоток для карт с замком. Базовая модель +Кодировщик магнитной полосы ISO</t>
  </si>
  <si>
    <t>Принтер DTC4500e DS LAM1 +MAG ДВУсторонний. Стандартный двойной входной лоток на 200 карт. Базовая модель с модулем односторонней ламинации +Кодировщик магнитной полосы ISO</t>
  </si>
  <si>
    <t>Принтер DTC4500e DS LAM1 ДВУсторонний. Стандартный двойной входной лоток на 200 карт с замком. Базовая модель с модулем односторонней ламинации</t>
  </si>
  <si>
    <t>Принтер DTC4500e DS LAM1 +MAG ДВУсторонний. Стандартный двойной входной лоток на 200 карт с замком. Базовая модель с модулем односторонней ламинации +Кодировщик магнитной полосы ISO</t>
  </si>
  <si>
    <t>Принтер DTC4500e DS LAM2 +MAG ДВУсторонний. Стандартный двойной входной лоток на 200 карт. Базовая модель с модулем двусторонней ламинации +Кодировщик магнитной полосы ISO</t>
  </si>
  <si>
    <t>Принтер DTC4500e DS LAM2 ДВУсторонний. Стандартный двойной входной лоток на 200 карт с замком. Базовая модель с модулем двусторонней ламинации</t>
  </si>
  <si>
    <t>Принтер DTC4500e DS LAM2 +MAG ДВУсторонний. Стандартный двойной входной лоток на 200 карт с замком. Базовая модель с модулем двусторонней ламинации +Кодировщик магнитной полосы ISO</t>
  </si>
  <si>
    <t>K</t>
  </si>
  <si>
    <t>W</t>
  </si>
  <si>
    <t>YMCFKO</t>
  </si>
  <si>
    <t>YMCKO 1/2</t>
  </si>
  <si>
    <t>YMCKO: Лента и чистящий валик. ДляDTC4500e. Полноцветная лента с полимерной чёрной панелью и прозрачным защитным слоем – 500 отпечатков</t>
  </si>
  <si>
    <t>Лента и чистящий валик. ДляDTC4500e. Полимерная улучшенная ЧЕРНАЯ лента - 3000 отпечатков</t>
  </si>
  <si>
    <t>Лента и чистящий валик. Для DTC4500e. Полимерная стандартная ЧЕРНАЯ лента – 3000 отпечатков</t>
  </si>
  <si>
    <t>Лента и чистящий валик. Для DTC4500e. Сублимационная БЕЛАЯ лента - 2000 отпечатков</t>
  </si>
  <si>
    <t>Лента и чистящий валик. Для DTC4500e. Полноцветная лента с полимерной чёрной панелью, прозрачным защитным слоем и ультрафиолетовой панелью - 500 отпечатков</t>
  </si>
  <si>
    <t>Лента и чистящий валик. Для DTC4500e. Полноцветная лента с двумя полимерными чёрными панелями и прозрачным защитным слоем – 500 отпечатков</t>
  </si>
  <si>
    <t>Лента и чистящий валик. Для DTC4500e. Полноцветная ПОЛУпанельная лента с полимерной черной панелью, прозрачным защитным слоем - 850 отпечатков</t>
  </si>
  <si>
    <t>Лента и чистящий валик. Для /DTC4500e. Полноцветная лента с двумя полимерными чёрными панелями – 500 отпечатков</t>
  </si>
  <si>
    <t>Чистящие материалы для принтера DTC4500e</t>
  </si>
  <si>
    <t>Ламинационные материалы для принтера DTC4500e</t>
  </si>
  <si>
    <t>82615</t>
  </si>
  <si>
    <t>82618</t>
  </si>
  <si>
    <t>Лента ламинационная термотрансферная чистая (только в картридж 1), толщина 0.0063 мм - 500 отпечатков. Для DTC4500e/HDP5000</t>
  </si>
  <si>
    <t>Ламинационная лента, термотрансферная с голограммой высокого разрешения "Орбита", универсальное расположение голограммы (только в картридж 1), толщина 0.0063 мм - 500 отпечатков. Для DTC4500e/HDP5000</t>
  </si>
  <si>
    <t>Печатающая головка для принтера 5500LMX</t>
  </si>
  <si>
    <t xml:space="preserve"> Принтер-кодировщик FARGO DTC5500LMX Профессиональный сублимационный принтер-кодировщик для прямой ДВУсторонней печати  и одновременного ДВУстороннего безотходного ламинирования пластиковых карт. USB. Ethernet.</t>
  </si>
  <si>
    <t>Принтер-кодировщик FARGO DTC5500LMX +MAG Профессиональный сублимационный принтер-кодировщик для прямой ДВУсторонней печати и одновременного ДВУстороннего безотходного ламинирования пластиковых карт и кодирования магнитной полосы ISO. USB. Ethernet. Полноцветный. Базовая модель +Кодировщик магнитной полосы ISO</t>
  </si>
  <si>
    <t>Принтер-кодировщик FARGO DTC5500LMX +PROX +13.56 +SIO Профессиональный сублимационный принтер-кодировщик для прямой ДВУсторонней печати и одновременного ДВУстороннего безотходного ламинирования пластиковых карт. Поддержка карт доступа HID PROX, бесконтактных смарт-карт (iCLASS, Mifare/DESFire, iCLASS SE, Seos, Mifare/DESFire SE) и контактных смарт-карт. USB. Ethernet. Полноцветный. Базовая модель +Кодировщик iCLASS SE, iCLASS, MIFARE/DESFire, HID Prox (OMNIKEY Cardman 5127)</t>
  </si>
  <si>
    <t>Лента и чистящий валик. Полноцветная лента с двумя полимерными чёрными панелями – 500 отпечатков</t>
  </si>
  <si>
    <t>Лента и чистящий валик. Полноцветная ПОЛУпанельная лента с полимерной черной панелью, прозрачным защитным слоем - 850 отпечатков</t>
  </si>
  <si>
    <t>YMCKOK: Лента и чистящий валик. Полноцветная лента с двумя полимерными чёрными панелями и прозрачным защитным слоем – 500 отпечатков. Для принтеров : DTC5500LMX</t>
  </si>
  <si>
    <t>DTC5500LMX -  Принтер прямой печати с разрешением 300 dpi</t>
  </si>
  <si>
    <t>Ламинационные материалы для принтера DTC5500LMX</t>
  </si>
  <si>
    <t>Чистящие материалы для принтера DTC5500LMX</t>
  </si>
  <si>
    <t>Карты и наклейки, рекомендованные для печати на принтере DTC5500LMX</t>
  </si>
  <si>
    <t>Лента и чистящий валик. Полимерная стандартная ЧЕРНАЯ лента – 3000 отпечатков</t>
  </si>
  <si>
    <t>K Premium</t>
  </si>
  <si>
    <t>K Standard</t>
  </si>
  <si>
    <t xml:space="preserve">Лента ЧЕРНАЯ полимерная улучшенная - 3000 отпечатков. </t>
  </si>
  <si>
    <t>Лента и чистящий валик. Полноцветная лента с полимерной чёрной панелью и прозрачным защитным слоем – 500 отпечатков.</t>
  </si>
  <si>
    <t>82700</t>
  </si>
  <si>
    <t>82702</t>
  </si>
  <si>
    <t>82710</t>
  </si>
  <si>
    <t>Безотходная ламинационная лента повышенной прочности, чистая, толщина 0.0253 мм - 1000 отпечатков.</t>
  </si>
  <si>
    <t>Ламинационная лента FARGO Holographic PolyGuard LMX 1.00 mil с голограммой  повышенной прочности и высокого разрешения "Орбита", универсальное расположение голограммы, толщина 0.0253 мм - 1000 отпечатков</t>
  </si>
  <si>
    <t>Ламинационная лента FARGO PolyGuard LMX 1.00 mil 1/2 для карт с магнитной полосой. Безотходная ламинационная лента повышенной прочности, чистая, полупанельная для стороны карты с магнитной полосой, толщина 0.0253 мм - 1000 отпечатков</t>
  </si>
  <si>
    <t>Термическая печатающая головка для принтеров Fargo DTC1250e/DTC1500/DTC4250e/DTC4500e/DTC550LMX</t>
  </si>
  <si>
    <t>YMC</t>
  </si>
  <si>
    <t>YMCFK</t>
  </si>
  <si>
    <t>Лента полноцветная, с полимерной чёрной панелью – 500 отпечатков.</t>
  </si>
  <si>
    <t xml:space="preserve">Лента полноцветная, с двумя полимерными чёрными панелями – 500 отпечатков. </t>
  </si>
  <si>
    <t>Лента ЧЕРНАЯ полимерная улучшенная - 3000 отпечатков.</t>
  </si>
  <si>
    <t>Лента полноцветная – 750 отпечатков.</t>
  </si>
  <si>
    <t>Лента несущая – 1500 отпечатков.</t>
  </si>
  <si>
    <t>Лента несущая с голограммой высокого разрешения "Орбита" – 500 отпечатков</t>
  </si>
  <si>
    <t>Лента ламинационная PolyGuard повышенной прочности с голограммой высокого разрешения "Орбита", универсальное расположение голограммы, толщина 0.60 mil (0.0152 мм) - 250 отпечатков. Для DTC4500e/HDP5000.</t>
  </si>
  <si>
    <t>Лента ламинационная PolyGuard повышенной прочности чистая, толщина 1.0 mil (0.0253 мм) - 250 отпечатков. Для DTC4500e/HDP5000</t>
  </si>
  <si>
    <t>Лента ламинационная PolyGuard повышенной прочности чистая, толщина 0.60 mil (0.0152 мм) - 250 отпечатков. Для DTC4500e/HDP5000</t>
  </si>
  <si>
    <t>Лента ламинационная PolyGuard повышенной прочности с голограммой высокого разрешения "Орбита", универсальное расположение голограммы, толщина 1.0 mil (0.0253 мм) - 250 отпечатков. Для DTC4500e/HDP5000</t>
  </si>
  <si>
    <t>Ламинационная лента PolyGuard для ламинирования контактных смарт-карт c чипом большого размера, в т.ч. HID Crescendo. Чистая, повышенной прочности PolyGuard с левосторонним размещением выреза для смарт чипа на ламинационной панеле (только в картридж 1), толщина 1 mil (0.0253 мм) - 250 отпечатков. Для DTC4500e/HDP5000</t>
  </si>
  <si>
    <t>Чистящие карты на 10 000 отпечатков - 50 штук.</t>
  </si>
  <si>
    <t>Чистящие ролики на 5 000 отпечатков - 10 штук.</t>
  </si>
  <si>
    <t>Чистящий комплект (комплектация: 4 спиртовых палочки для чистки печатающей головки, 10 чистящих карт с липким слоем, 10 чистящих салфеток, 3 чистящих карты с содержанием спирта).</t>
  </si>
  <si>
    <t>Усиленные пластиковые карты FARGO UltraCard PC для печати HDP и лазерной гравировки, 500 шт.
Упаковка 500 пластиковых карт повышенной прочности и долговечности из 100% поликарбоната. Для прямой печати на карт-принтерах. Белые. СR-80 (85.6х54мм), толщина 30 mil (0.76мм). Предназначены для печати только на ретрансверных принтерах HDP и для лазерной гравировки. НЕ рекомендуется для печати на принтерах DTC</t>
  </si>
  <si>
    <t>HDP6600 -  Профессиональный ретрансферный принтер с разрешением 600 dpi</t>
  </si>
  <si>
    <r>
      <t>Принтер-кодировщик FARGO HDP6600 (600dpi) SS  
Профессиональный ретрансферный сублимационный принтер для высококачественной полноцветной и монохромной печати пластиковых карт. ЖК-дисплей. Разрешение 600 DPI. USB. Ethernet. Полноцветный. ОДНОсторонний.</t>
    </r>
    <r>
      <rPr>
        <b/>
        <sz val="9"/>
        <color theme="1"/>
        <rFont val="Arial Cyr"/>
        <charset val="204"/>
      </rPr>
      <t xml:space="preserve"> Базовая модель с двойным лотком</t>
    </r>
  </si>
  <si>
    <r>
      <t xml:space="preserve">Принтер-кодировщик FARGO HDP6600 (600dpi) SS  
Профессиональный ретрансферный сублимационный принтер для высококачественной полноцветной и монохромной печати пластиковых карт. ЖК-дисплей. Разрешение 600 DPI. USB. Ethernet. Полноцветный. ОДНОсторонний. </t>
    </r>
    <r>
      <rPr>
        <b/>
        <sz val="9"/>
        <color theme="1"/>
        <rFont val="Arial Cyr"/>
        <charset val="204"/>
      </rPr>
      <t>Базовая модель с двойным лотком и замком</t>
    </r>
  </si>
  <si>
    <r>
      <t xml:space="preserve">Принтер-кодировщик FARGO HDP6600 (600dpi) SS  
Профессиональный ретрансферный сублимационный принтер для высококачественной полноцветной и монохромной печати пластиковых карт. ЖК-дисплей. Разрешение 600 DPI. USB. Ethernet. Полноцветный. ОДНОсторонний. </t>
    </r>
    <r>
      <rPr>
        <b/>
        <sz val="9"/>
        <color theme="1"/>
        <rFont val="Arial Cyr"/>
        <charset val="204"/>
      </rPr>
      <t>Базовая модель</t>
    </r>
    <r>
      <rPr>
        <sz val="9"/>
        <color theme="1"/>
        <rFont val="Arial Cyr"/>
        <charset val="204"/>
      </rPr>
      <t xml:space="preserve"> </t>
    </r>
    <r>
      <rPr>
        <b/>
        <sz val="9"/>
        <color theme="1"/>
        <rFont val="Arial Cyr"/>
        <charset val="204"/>
      </rPr>
      <t>с замком</t>
    </r>
  </si>
  <si>
    <r>
      <t xml:space="preserve">Принтер-кодировщик FARGO HDP6600 (600dpi) SS  
Профессиональный ретрансферный сублимационный принтер для высококачественной полноцветной и монохромной печати пластиковых карт. ЖК-дисплей. Разрешение 600 DPI. USB. Ethernet. Полноцветный. </t>
    </r>
    <r>
      <rPr>
        <b/>
        <sz val="9"/>
        <color theme="1"/>
        <rFont val="Arial Cyr"/>
        <charset val="204"/>
      </rPr>
      <t>ОДНОсторонний</t>
    </r>
    <r>
      <rPr>
        <sz val="9"/>
        <color theme="1"/>
        <rFont val="Arial Cyr"/>
        <charset val="204"/>
      </rPr>
      <t xml:space="preserve">. </t>
    </r>
    <r>
      <rPr>
        <b/>
        <sz val="9"/>
        <color theme="1"/>
        <rFont val="Arial Cyr"/>
        <charset val="204"/>
      </rPr>
      <t>Базовая модель</t>
    </r>
  </si>
  <si>
    <r>
      <t xml:space="preserve">Принтер-кодировщик FARGO HDP6600 (600dpi) DS  
Профессиональный ретрансферный сублимационный принтер для высококачественной полноцветной и монохромной печати пластиковых карт. ЖК-дисплей. Разрешение 600 DPI. USB. Ethernet. Полноцветный. </t>
    </r>
    <r>
      <rPr>
        <b/>
        <sz val="9"/>
        <color theme="1"/>
        <rFont val="Arial Cyr"/>
        <charset val="204"/>
      </rPr>
      <t>ДВУсторонний. Базовая модель</t>
    </r>
  </si>
  <si>
    <r>
      <t>Принтер-кодировщик FARGO HDP6600 (600dpi) SS  
Профессиональный ретрансферный сублимационный принтер для высококачественной полноцветной и монохромной печати пластиковых карт. ЖК-дисплей. Разрешение 600 DPI. USB. Ethernet. Полноцветный. ОДНОсторонний.</t>
    </r>
    <r>
      <rPr>
        <b/>
        <sz val="9"/>
        <color theme="1"/>
        <rFont val="Arial Cyr"/>
        <charset val="204"/>
      </rPr>
      <t xml:space="preserve"> Базовая модель + модуль выпрямления карт</t>
    </r>
  </si>
  <si>
    <r>
      <t xml:space="preserve">Принтер-кодировщик FARGO HDP6600 (600dpi) DS  
Профессиональный ретрансферный сублимационный принтер для высококачественной полноцветной и монохромной печати пластиковых карт. ЖК-дисплей. Разрешение 600 DPI. USB. Ethernet. Полноцветный. ДВУсторонний. </t>
    </r>
    <r>
      <rPr>
        <b/>
        <sz val="9"/>
        <color theme="1"/>
        <rFont val="Arial Cyr"/>
        <charset val="204"/>
      </rPr>
      <t>Базовая модель с двойным лотком</t>
    </r>
  </si>
  <si>
    <r>
      <t>Принтер-кодировщик FARGO HDP6600 (600dpi) DS  
Профессиональный ретрансферный сублимационный принтер для высококачественной полноцветной и монохромной печати пластиковых карт. ЖК-дисплей. Разрешение 600 DPI. USB. Ethernet. Полноцветный. ДВУсторонний.</t>
    </r>
    <r>
      <rPr>
        <b/>
        <sz val="9"/>
        <color theme="1"/>
        <rFont val="Arial Cyr"/>
        <charset val="204"/>
      </rPr>
      <t xml:space="preserve"> Базовая модель с замком</t>
    </r>
  </si>
  <si>
    <r>
      <t xml:space="preserve">Принтер-кодировщик FARGO HDP6600 (600dpi) DS  
Профессиональный ретрансферный сублимационный принтер для высококачественной полноцветной и монохромной печати пластиковых карт. ЖК-дисплей. Разрешение 600 DPI. USB. Ethernet. Полноцветный. ДВУсторонний. </t>
    </r>
    <r>
      <rPr>
        <b/>
        <sz val="9"/>
        <color theme="1"/>
        <rFont val="Arial Cyr"/>
        <charset val="204"/>
      </rPr>
      <t>Базовая модель с двойным лотком и замком</t>
    </r>
  </si>
  <si>
    <r>
      <t xml:space="preserve">Принтер-кодировщик FARGO HDP6600 (600dpi) DS  
Профессиональный ретрансферный сублимационный принтер для высококачественной полноцветной и монохромной печати пластиковых карт. ЖК-дисплей. Разрешение 600 DPI. USB. Ethernet. Полноцветный. ДВУсторонний. </t>
    </r>
    <r>
      <rPr>
        <b/>
        <sz val="9"/>
        <color theme="1"/>
        <rFont val="Arial Cyr"/>
        <charset val="204"/>
      </rPr>
      <t>Базовая модель с модулем выпрямления карт</t>
    </r>
  </si>
  <si>
    <r>
      <t>Принтер-кодировщик FARGO HDP6600 (600dpi) SS  
Профессиональный ретрансферный сублимационный принтер для высококачественной полноцветной и монохромной печати пластиковых карт. ЖК-дисплей. Разрешение 600 DPI. USB. Ethernet. Полноцветный. ОДНОсторонний. Базовая модель</t>
    </r>
    <r>
      <rPr>
        <b/>
        <sz val="9"/>
        <color theme="1"/>
        <rFont val="Arial Cyr"/>
        <charset val="204"/>
      </rPr>
      <t xml:space="preserve"> с односторонней ламинацией</t>
    </r>
  </si>
  <si>
    <r>
      <t xml:space="preserve">Принтер-кодировщик FARGO HDP6600 (600dpi) SS  
Профессиональный ретрансферный сублимационный принтер для высококачественной полноцветной и монохромной печати пластиковых карт. ЖК-дисплей. Разрешение 600 DPI. USB. Ethernet. Полноцветный. ОДНОсторонний. Базовая модель </t>
    </r>
    <r>
      <rPr>
        <b/>
        <sz val="9"/>
        <color theme="1"/>
        <rFont val="Arial Cyr"/>
        <charset val="204"/>
      </rPr>
      <t>с модулем выпрямления карт и односторонней ламинацией</t>
    </r>
  </si>
  <si>
    <r>
      <t>Принтер-кодировщик идентификационных карт HID FARGO HDP6600 DS ДВУсторонний полноцветный профессиональный ретрансферный сублимационный принтер высокого разрешения для полноцветной и монохромной печати пластиковых карт. Технология печати HDP. Разрешение 600 DPI. USB. Ethernet. Базовая модель + модуль двусторонней печати</t>
    </r>
    <r>
      <rPr>
        <b/>
        <sz val="9"/>
        <color theme="1"/>
        <rFont val="Arial Cyr"/>
        <charset val="204"/>
      </rPr>
      <t xml:space="preserve"> с односторонней ламинацией</t>
    </r>
  </si>
  <si>
    <r>
      <t xml:space="preserve">Принтер-кодировщик идентификационных карт HID FARGO HDP6600 DS ДВУсторонний полноцветный профессиональный ретрансферный сублимационный принтер высокого разрешения для полноцветной и монохромной печати пластиковых карт. Технология печати HDP. Разрешение 600 DPI. USB. Ethernet. Базовая модель + модуль двусторонней печати </t>
    </r>
    <r>
      <rPr>
        <b/>
        <sz val="9"/>
        <color theme="1"/>
        <rFont val="Arial Cyr"/>
        <charset val="204"/>
      </rPr>
      <t>с односторонней ламинацией и модулем выпрямления карт</t>
    </r>
  </si>
  <si>
    <r>
      <t xml:space="preserve">Принтер-кодировщик идентификационных карт HID FARGO HDP6600 DS ДВУсторонний полноцветный профессиональный ретрансферный сублимационный принтер высокого разрешения для полноцветной и монохромной печати пластиковых карт. Технология печати HDP. Разрешение 600 DPI. USB. Ethernet. Базовая модель + модуль двусторонней печати </t>
    </r>
    <r>
      <rPr>
        <b/>
        <sz val="9"/>
        <color theme="1"/>
        <rFont val="Arial Cyr"/>
        <charset val="204"/>
      </rPr>
      <t>с двусторонней ламинацией</t>
    </r>
  </si>
  <si>
    <r>
      <t>Принтер-кодировщик идентификационных карт HID FARGO HDP6600 DS ДВУсторонний полноцветный профессиональный ретрансферный сублимационный принтер высокого разрешения для полноцветной и монохромной печати пластиковых карт. Технология печати HDP. Разрешение 600 DPI. USB. Ethernet. Базовая модель + модуль двусторонней печати</t>
    </r>
    <r>
      <rPr>
        <b/>
        <sz val="9"/>
        <color theme="1"/>
        <rFont val="Arial Cyr"/>
        <charset val="204"/>
      </rPr>
      <t xml:space="preserve"> с двусторонней ламинацией и модулем выпрямления карт</t>
    </r>
  </si>
  <si>
    <t>Модуль двусторонней печати</t>
  </si>
  <si>
    <t>Модуль односторонней ламинации (совместим только с принтером ДВУсторонней печати)</t>
  </si>
  <si>
    <t>Модуль двусторонней ламинации</t>
  </si>
  <si>
    <t>Модуль выпрямления карт</t>
  </si>
  <si>
    <t>Кодировщик бесконтактных карт</t>
  </si>
  <si>
    <t>Программатор карт</t>
  </si>
  <si>
    <t>Кодировщик магнитной полосы</t>
  </si>
  <si>
    <t>Кодировщик карт с контактным чипом</t>
  </si>
  <si>
    <t>Дополнительные модули для принтеров серии HDP6600</t>
  </si>
  <si>
    <t>Лента и чистящий валик для HDP6600. Полноцветная лента с полимерной чёрной панелью – 750 отпечатков</t>
  </si>
  <si>
    <t>Лента и чистящий валик. Полноцветная лента с двумя полимерными чёрными панелями – 600 отпечатков</t>
  </si>
  <si>
    <t xml:space="preserve">Лента и чистящий валик. Полноцветная лента с полимерной черной панелью и панелью термосваривания – 600 отпечатков. </t>
  </si>
  <si>
    <t xml:space="preserve">Лента и чистящий валик. Полноцветная лента с полимерной черной панелью и флуоресцентной панелью  – 600 отпечатков. </t>
  </si>
  <si>
    <t>Ламинационные материалы для принтера HDP6600</t>
  </si>
  <si>
    <t>Чистящие материалы для принтера HDP6600</t>
  </si>
  <si>
    <t>Печатающая головка для принтера HDP6600</t>
  </si>
  <si>
    <t>Карты и наклейки, рекомендованные для печати на принтере HDP6600</t>
  </si>
  <si>
    <t>Ленты для печати на принтере HDP6600</t>
  </si>
  <si>
    <t>Безотходная ламинационная лента повышенной прочности, чистая, толщина 1 mil (0.0253 мм) - 1000 отпечатков. Для принтеров : DTC5500LMX/HDP6600</t>
  </si>
  <si>
    <t>Безотходная ламинационная лента повышенной прочности с голограммой высокого разрешения "Орбита", универсальное расположение голограммы, толщина 1 mil (0.0253 мм) - 1000 отпечатков</t>
  </si>
  <si>
    <t>езотходная ламинационная лента повышенной прочности, чистая, полупанельная для стороны карты с магнитной полосой, толщина 1 mil (0.0253 мм) - 1000 отпечатков</t>
  </si>
  <si>
    <t>Термическая печатающая головка для принтеров Fargo HDP6600</t>
  </si>
  <si>
    <t>Чистящий комплект (комплектация: 4 спиртовые палочки для чистки печатающей головки, 10 чистящих карт с липким слоем, 10 чистящих салфеток , 3 чистящие карты с содержанием спирта) для FARGO HDP6600</t>
  </si>
  <si>
    <t>Печатающая головка для принтеров DTC1250e/DTC1500/DTC4250e/DTC4500e/DTC5500LMX</t>
  </si>
  <si>
    <t>Программное обеспечение Asure ID</t>
  </si>
  <si>
    <t>Программное обеспечение Asure ID Express для печати и программирования карт (Доставка в цифровом виде)</t>
  </si>
  <si>
    <t>Программное обеспечение Asure ID Enterprise для печати и программирования карт  (Доставка в цифровом виде)</t>
  </si>
  <si>
    <t>Программное обеспечение Asure ID Exchange для печати и программирования карт  (Доставка в цифровом виде)</t>
  </si>
  <si>
    <t>Программное обеспечение Asure ID 7 Solo для печати и программирования карт  (Доставка в цифровом виде)</t>
  </si>
  <si>
    <t>Обновление программного обеспечение Asure ID</t>
  </si>
  <si>
    <t>Обновление Asure ID 7 Solo до Express</t>
  </si>
  <si>
    <t>Обновление Asure ID 7 Solo до Enterprise</t>
  </si>
  <si>
    <t>Обновление Asure ID 7 Solo до Exchange</t>
  </si>
  <si>
    <t>Обновление Asure ID 7 Express до Enterprise</t>
  </si>
  <si>
    <t>Обновление Asure ID 7 Express до Exchange</t>
  </si>
  <si>
    <t>Обновление Asure ID 7 Enterprise до Exchange</t>
  </si>
  <si>
    <t>Программное обеспечение Asure ID 7 Enterprise. Одно дополнительное клиенское рабочее место (1-5 клиентов).</t>
  </si>
  <si>
    <t>Ленты для печати на принтере DTC1250e</t>
  </si>
  <si>
    <t>Ленты для печати на принтере DTC4250e</t>
  </si>
  <si>
    <t>Ленты для печати на принтере DTC4500e</t>
  </si>
  <si>
    <t>Ленты для печати на принтере DTC5500LMX</t>
  </si>
  <si>
    <t>Карты и наклейки, рекомендованные для печати на принтерах DTC1250e/DTC1500/DTC4250e/DTC4500e</t>
  </si>
  <si>
    <t>HDP5000e -  Профессиональный ретрансферный принтер с разрешением 300 dpi</t>
  </si>
  <si>
    <t>Система персонализации карт Fargo HDP5000e: Односторонний принтер пластиковых карт Fargo HDP5000e; Программное обеспечение AsureID 7 Express; Цифровая high-end USB WEB-камера; Полноцветная печатная лента YMCK (500 отпечатков); Несущая HDP-лента; Пластиковые карты UltraCard™ Premium - 500 шт.; USB кабель</t>
  </si>
  <si>
    <t>Двусторонние чистящие карты, 50 шт. Упаковка 50 чистящих карт с двусторонним липким слоем - 50 штук. Для DTC1250e/DTC4250e/4500e/HDP5000e</t>
  </si>
  <si>
    <t>Чистящие карты с изопропиловым спиртом на 5 000 отпечатков - 10 штук. Для DTC1250e/DTC4250e/DTC4500e/HDP5000e</t>
  </si>
  <si>
    <t>Печатающая головка для принтера HDP5000e</t>
  </si>
  <si>
    <t>Термическая печатающая головка для принтеров Fargo HDP5000e</t>
  </si>
  <si>
    <t>Несущие ленты для принтера HDP6600</t>
  </si>
  <si>
    <t xml:space="preserve">Лента полноцветная, с полимерной чёрной и флуоресцентной панелями – 500 отпечатков. </t>
  </si>
  <si>
    <t>HDP5000e ДВУсторонний. Базовая модель+YMCK+HDP Film+Asure ID Express</t>
  </si>
  <si>
    <t>HDP5000e ДВУсторонний. Базовая модель+Кодировщик Omnikey 5127 Mini бесконтактных смарт-карт</t>
  </si>
  <si>
    <t>Ламинационная лента PolyGuard повышенной прочности, чистая, полупанельная для стороны карты с магнитной полосой (только в картридж 2), толщина 0.6 mil (0.0152 мм) - 250 отпечатков. Для DTC4500e/HDP5000</t>
  </si>
  <si>
    <t>Лента ламинационная PolyGuard повышенной прочности чистая, полупанельная для стороны карты с магнитной полосой (только в картридж 2), толщина 1.0 mil (0.0253 мм) - 250 отпечатков. Для DTC4500e/HDP5000</t>
  </si>
  <si>
    <t>Чистящие материалы для принтера HDP5000/HDP5000e</t>
  </si>
  <si>
    <t>Двусторонние чистящие карты, 50 шт. Упаковка 50 чистящих карт с двусторонним липким слоем - 50 штук. Для DTC1250e/DTC4250e/4500e/HDP5000/HDP5000e</t>
  </si>
  <si>
    <t>Ленты для печати на принтере HDP5000/HDP5000e</t>
  </si>
  <si>
    <t>Несущие ленты для принтера HDP5000/HDP5000e</t>
  </si>
  <si>
    <t>Ламинационные материалы для принтера HDP5000/HDP5000e</t>
  </si>
  <si>
    <t>Лента ламинационная термотрансферная чистая (только в картридж 1), толщина 0.0063 мм - 500 отпечатков. Для DTC4500e/HDP5000/HDP5000e</t>
  </si>
  <si>
    <t>Ламинационная лента, термотрансферная с голограммой высокого разрешения "Орбита", универсальное расположение голограммы (только в картридж 1), толщина 0.0063 мм - 500 отпечатков. Для DTC4500e/HDP5000/HDP5000e</t>
  </si>
  <si>
    <t>Лента ламинационная PolyGuard повышенной прочности чистая, толщина 0.60 mil (0.0152 мм) - 250 отпечатков. Для DTC4500e/HDP5000/HDP5000e</t>
  </si>
  <si>
    <t>Лента ламинационная PolyGuard повышенной прочности чистая, толщина 1.0 mil (0.0253 мм) - 250 отпечатков. Для DTC4500e/HDP5000/HDP5000e</t>
  </si>
  <si>
    <t>Лента ламинационная PolyGuard повышенной прочности с голограммой высокого разрешения "Орбита", универсальное расположение голограммы, толщина 0.60 mil (0.0152 мм) - 250 отпечатков. Для DTC4500e/HDP5000/HDP5000e.</t>
  </si>
  <si>
    <t>Лента ламинационная PolyGuard повышенной прочности с голограммой высокого разрешения "Орбита", универсальное расположение голограммы, толщина 1.0 mil (0.0253 мм) - 250 отпечатков. Для DTC4500e/HDP5000/HDP5000e</t>
  </si>
  <si>
    <r>
      <t>Ламинационная лента PolyGuard повышенной прочности, чистая,</t>
    </r>
    <r>
      <rPr>
        <b/>
        <sz val="9"/>
        <color theme="1"/>
        <rFont val="Arimo"/>
        <charset val="204"/>
      </rPr>
      <t xml:space="preserve"> полупанельная</t>
    </r>
    <r>
      <rPr>
        <sz val="9"/>
        <color theme="1"/>
        <rFont val="Arimo"/>
      </rPr>
      <t xml:space="preserve"> для стороны карты с магнитной полосой (только в картридж 2), толщина 0.6 mil (0.0152 мм) - 250 отпечатков. Для DTC4500e/HDP5000/HDP5000e</t>
    </r>
  </si>
  <si>
    <r>
      <t xml:space="preserve">Лента ламинационная PolyGuard повышенной прочности чистая, </t>
    </r>
    <r>
      <rPr>
        <b/>
        <sz val="9"/>
        <color theme="1"/>
        <rFont val="Arimo"/>
        <charset val="204"/>
      </rPr>
      <t>полупанельная</t>
    </r>
    <r>
      <rPr>
        <sz val="9"/>
        <color theme="1"/>
        <rFont val="Arimo"/>
      </rPr>
      <t xml:space="preserve"> для стороны карты с магнитной полосой (только в картридж 2), толщина 1.0 mil (0.0253 мм) - 250 отпечатков. Для DTC4500e/HDP5000/HDP5000e</t>
    </r>
  </si>
  <si>
    <t>Ламинационная лента PolyGuard для ламинирования контактных смарт-карт c чипом большого размера, в т.ч. HID Crescendo. Чистая, повышенной прочности PolyGuard с левосторонним размещением выреза для смарт чипа на ламинационной панеле (только в картридж 1), толщина 1 mil (0.0253 мм) - 250 отпечатков. Для DTC4500e/HDP5000/HDP5000e</t>
  </si>
  <si>
    <t>Безотходная ламинационная лента повышенной прочности, чистая, полупанельная для стороны карты с магнитной полосой, толщина 1 mil (0.0253 мм) - 1000 отпечатков</t>
  </si>
  <si>
    <t>Карты и наклейки, рекомендованные для печати на принтерах HDP5000/HDP5000e/HDP6600</t>
  </si>
  <si>
    <t>Принтер FARGO HDP5000e SS +Prox +13.56 +SIO
Профессиональный ретрансферный сублимационный принтер-кодировщик для высококачественной полноцветной и монохромной печати пластиковых карт. ЖК-дисплей. USB. Ethernet. Полноцветный. ОДНОсторонний. Базовая модель +Кодировщик iCLASS SE, iCLASS, MIFARE/DESFire, HID Prox (OMNIKEY Cardman 5127).</t>
  </si>
  <si>
    <t>50000</t>
  </si>
  <si>
    <t>50100</t>
  </si>
  <si>
    <t>50010</t>
  </si>
  <si>
    <t>50020</t>
  </si>
  <si>
    <t>50030</t>
  </si>
  <si>
    <t>50110</t>
  </si>
  <si>
    <t>50120</t>
  </si>
  <si>
    <t>50130</t>
  </si>
  <si>
    <t>45000</t>
  </si>
  <si>
    <t>45010</t>
  </si>
  <si>
    <t>45014</t>
  </si>
  <si>
    <t>45015</t>
  </si>
  <si>
    <t>45029</t>
  </si>
  <si>
    <t>44261</t>
  </si>
  <si>
    <t>45101</t>
  </si>
  <si>
    <t>45102</t>
  </si>
  <si>
    <t>45130</t>
  </si>
  <si>
    <t>45111</t>
  </si>
  <si>
    <t>86177</t>
  </si>
  <si>
    <t>44260</t>
  </si>
  <si>
    <t>86131</t>
  </si>
  <si>
    <t>82133</t>
  </si>
  <si>
    <t>47500</t>
  </si>
  <si>
    <t>81759</t>
  </si>
  <si>
    <t>82266</t>
  </si>
  <si>
    <t>81758</t>
  </si>
  <si>
    <t>81754</t>
  </si>
  <si>
    <t>81751</t>
  </si>
  <si>
    <t>81750</t>
  </si>
  <si>
    <t>82136</t>
  </si>
  <si>
    <t>82137</t>
  </si>
  <si>
    <t>51400</t>
  </si>
  <si>
    <t>51405</t>
  </si>
  <si>
    <t>51401</t>
  </si>
  <si>
    <t>51406</t>
  </si>
  <si>
    <t>51410</t>
  </si>
  <si>
    <t>51411</t>
  </si>
  <si>
    <t>47736</t>
  </si>
  <si>
    <t>45611</t>
  </si>
  <si>
    <t>45612</t>
  </si>
  <si>
    <t>45616</t>
  </si>
  <si>
    <t>45617</t>
  </si>
  <si>
    <t>82600</t>
  </si>
  <si>
    <t>82601</t>
  </si>
  <si>
    <t>82603</t>
  </si>
  <si>
    <t>82604</t>
  </si>
  <si>
    <t>82607</t>
  </si>
  <si>
    <t>82608</t>
  </si>
  <si>
    <t>52000</t>
  </si>
  <si>
    <t>52100</t>
  </si>
  <si>
    <t>52010</t>
  </si>
  <si>
    <t>52600</t>
  </si>
  <si>
    <t>52110</t>
  </si>
  <si>
    <t>45100</t>
  </si>
  <si>
    <t>55000</t>
  </si>
  <si>
    <t>55100</t>
  </si>
  <si>
    <t>55010</t>
  </si>
  <si>
    <t>55020</t>
  </si>
  <si>
    <t>55030</t>
  </si>
  <si>
    <t>55200</t>
  </si>
  <si>
    <t>55210</t>
  </si>
  <si>
    <t>55220</t>
  </si>
  <si>
    <t>55230</t>
  </si>
  <si>
    <t>55600</t>
  </si>
  <si>
    <t>55110</t>
  </si>
  <si>
    <t>55120</t>
  </si>
  <si>
    <t>55130</t>
  </si>
  <si>
    <t>55300</t>
  </si>
  <si>
    <t>55310</t>
  </si>
  <si>
    <t>55320</t>
  </si>
  <si>
    <t>55330</t>
  </si>
  <si>
    <t>55410</t>
  </si>
  <si>
    <t>55420</t>
  </si>
  <si>
    <t>55430</t>
  </si>
  <si>
    <t>55510</t>
  </si>
  <si>
    <t>55520</t>
  </si>
  <si>
    <t>55530</t>
  </si>
  <si>
    <t>56305</t>
  </si>
  <si>
    <t>56306</t>
  </si>
  <si>
    <t>56308</t>
  </si>
  <si>
    <t>45700</t>
  </si>
  <si>
    <t>45701</t>
  </si>
  <si>
    <t>45702</t>
  </si>
  <si>
    <t>45710</t>
  </si>
  <si>
    <t>45714</t>
  </si>
  <si>
    <t>96600</t>
  </si>
  <si>
    <t>96640</t>
  </si>
  <si>
    <t>96300</t>
  </si>
  <si>
    <t>96609</t>
  </si>
  <si>
    <t>96305</t>
  </si>
  <si>
    <t>96526</t>
  </si>
  <si>
    <t>84510</t>
  </si>
  <si>
    <t>84511</t>
  </si>
  <si>
    <t>84512</t>
  </si>
  <si>
    <t>84514</t>
  </si>
  <si>
    <t>84518</t>
  </si>
  <si>
    <t>84500</t>
  </si>
  <si>
    <t>84501</t>
  </si>
  <si>
    <t>82655</t>
  </si>
  <si>
    <t>89200</t>
  </si>
  <si>
    <t>86004</t>
  </si>
  <si>
    <t>81760</t>
  </si>
  <si>
    <t>86091</t>
  </si>
  <si>
    <t>82289</t>
  </si>
  <si>
    <t>94600</t>
  </si>
  <si>
    <t>94640</t>
  </si>
  <si>
    <t>94800</t>
  </si>
  <si>
    <t>94610</t>
  </si>
  <si>
    <t>94700</t>
  </si>
  <si>
    <t>94900</t>
  </si>
  <si>
    <t>94620</t>
  </si>
  <si>
    <t>94630</t>
  </si>
  <si>
    <t>94740</t>
  </si>
  <si>
    <t>94840</t>
  </si>
  <si>
    <t>94940</t>
  </si>
  <si>
    <t>94650</t>
  </si>
  <si>
    <t>94660</t>
  </si>
  <si>
    <t>94670</t>
  </si>
  <si>
    <t>94680</t>
  </si>
  <si>
    <t>94690</t>
  </si>
  <si>
    <t>94050</t>
  </si>
  <si>
    <t>94051</t>
  </si>
  <si>
    <t>94052</t>
  </si>
  <si>
    <t>94053</t>
  </si>
  <si>
    <t>94054</t>
  </si>
  <si>
    <t>94055</t>
  </si>
  <si>
    <t>94056</t>
  </si>
  <si>
    <t>94057</t>
  </si>
  <si>
    <t>84911</t>
  </si>
  <si>
    <t>84912</t>
  </si>
  <si>
    <t>84915</t>
  </si>
  <si>
    <t>84916</t>
  </si>
  <si>
    <t>84917</t>
  </si>
  <si>
    <t>84900</t>
  </si>
  <si>
    <t>84054</t>
  </si>
  <si>
    <t>88933</t>
  </si>
  <si>
    <t>86094</t>
  </si>
  <si>
    <t>96091</t>
  </si>
  <si>
    <t>86511</t>
  </si>
  <si>
    <t>86512</t>
  </si>
  <si>
    <t>86513</t>
  </si>
  <si>
    <t>86514</t>
  </si>
  <si>
    <t>86415</t>
  </si>
  <si>
    <t>86416</t>
  </si>
  <si>
    <t>86417</t>
  </si>
  <si>
    <t>86418</t>
  </si>
  <si>
    <t>86419</t>
  </si>
  <si>
    <t>86420</t>
  </si>
  <si>
    <t>86430</t>
  </si>
  <si>
    <t>45117</t>
  </si>
  <si>
    <t>45200</t>
  </si>
  <si>
    <t>45201</t>
  </si>
  <si>
    <t>45202</t>
  </si>
  <si>
    <t>45206</t>
  </si>
  <si>
    <t>45209</t>
  </si>
  <si>
    <t>45210</t>
  </si>
  <si>
    <t>45214</t>
  </si>
  <si>
    <t>45215</t>
  </si>
  <si>
    <t>45715</t>
  </si>
  <si>
    <t>55500</t>
  </si>
  <si>
    <t>52300</t>
  </si>
  <si>
    <t>47435</t>
  </si>
  <si>
    <t>89001</t>
  </si>
  <si>
    <t>88935</t>
  </si>
  <si>
    <t>88936</t>
  </si>
  <si>
    <t>86431</t>
  </si>
  <si>
    <t>Дополнительные модули для принтеров серии HDP5000e и HDP5600</t>
  </si>
  <si>
    <t>Дополнительный модуль для принтера серии DTC4250e</t>
  </si>
  <si>
    <t>Модуль двусторонней печати для HDP6600</t>
  </si>
  <si>
    <t>Модуль односторонней ламинации (совместим только с принтером ДВУсторонней печати) для HDP6600</t>
  </si>
  <si>
    <t>Модуль двусторонней ламинации для HDP6600</t>
  </si>
  <si>
    <t>Модуль выпрямления карт для HDP6600</t>
  </si>
  <si>
    <t>Кодировщик бесконтактных карт для HDP6600</t>
  </si>
  <si>
    <t>Программатор карт для HDP6600</t>
  </si>
  <si>
    <t>Кодировщик магнитной полосы для HDP6600</t>
  </si>
  <si>
    <t>Кодировщик карт с контактным чипом для HDP6600</t>
  </si>
  <si>
    <t>Модуль двусторонней печати для DTC4250e</t>
  </si>
  <si>
    <t>Ленты для печати на принтере DTC1500</t>
  </si>
  <si>
    <t>Чистящие ролики на 750 отпечатков - 3 штуки. Для DTC1250e/DTC4250e/DTC4500e.</t>
  </si>
  <si>
    <t xml:space="preserve">Чистящий комплект для DTC5500LMX (комплектация: 4 чистящие палочки, 20 чистящих карт с липким слоем, 3 чистящие карты с содержанием спирта). </t>
  </si>
  <si>
    <t>RFID-tag с QR-кодом для активации двусторонней печати для принтера DTC1500 Fargo</t>
  </si>
  <si>
    <t>Лента и чистящий валик. Для DTC4500e. Полимерная улучшенная ЧЕРНАЯ лента - 3000 отпечатков</t>
  </si>
  <si>
    <t>DTC4250e DS ДВУсторонний. Стандартный входной накопитель на 100 карт. Базовая модель, USB, Ethernet, внутренний сервер печати. Входной и выходной лотки с одной стороны</t>
  </si>
  <si>
    <t>Принтер DTC4500e DS ДВУсторонний с ДВУсторонней ламинацией. Стандартный двойной входной лоток на 200 карт. Базовая модель</t>
  </si>
  <si>
    <t>88955</t>
  </si>
  <si>
    <t>88956</t>
  </si>
  <si>
    <r>
      <t xml:space="preserve">Модуль односторонней ламинации для </t>
    </r>
    <r>
      <rPr>
        <b/>
        <sz val="9"/>
        <color theme="1"/>
        <rFont val="Arial Cyr"/>
        <charset val="204"/>
      </rPr>
      <t>HDP5000e</t>
    </r>
  </si>
  <si>
    <r>
      <t xml:space="preserve">Модуль двусторонней ламинации для </t>
    </r>
    <r>
      <rPr>
        <b/>
        <sz val="9"/>
        <color theme="1"/>
        <rFont val="Arial Cyr"/>
        <charset val="204"/>
      </rPr>
      <t>HDP5000e</t>
    </r>
  </si>
  <si>
    <t>Модуль двусторонней ламинации для HDP5000 и HDP5600</t>
  </si>
  <si>
    <t>Модуль односторонней ламинации (совместим только с принтером ДВУсторонней печати) для HDP5000 и HDP5600</t>
  </si>
  <si>
    <t>Дополнительные модули для принтеров серии HDP5000e и HDP5000</t>
  </si>
  <si>
    <t>Модуль двусторонней печати для HDP5000 и HDP5600</t>
  </si>
  <si>
    <t>96680</t>
  </si>
  <si>
    <t>96660</t>
  </si>
  <si>
    <t>96620</t>
  </si>
  <si>
    <t>HDP5000e Односторонний. Базовая модель с односторонней ламинацией</t>
  </si>
  <si>
    <t>HDP5000e ДВУсторонний. Базовая модель с ДВУсторонней ламинацией</t>
  </si>
  <si>
    <t>HDP5000e ДВУсторонний. Базовая модель с ОДНОсторонней ламинацией</t>
  </si>
  <si>
    <t>96001</t>
  </si>
  <si>
    <r>
      <t xml:space="preserve">Модуль двусторонней печати для </t>
    </r>
    <r>
      <rPr>
        <b/>
        <sz val="9"/>
        <color theme="1"/>
        <rFont val="Arial Cyr"/>
        <charset val="204"/>
      </rPr>
      <t>HDP5000e</t>
    </r>
  </si>
  <si>
    <t>Модуль односторонней ламинации для HDP5000 и HDP5600</t>
  </si>
  <si>
    <t>Описание</t>
  </si>
  <si>
    <t>Модель</t>
  </si>
  <si>
    <t>DTC1250e SS</t>
  </si>
  <si>
    <t>DTC1250e DS</t>
  </si>
  <si>
    <r>
      <t>DTC1250e DS</t>
    </r>
    <r>
      <rPr>
        <sz val="9"/>
        <color theme="1"/>
        <rFont val="Arial Cyr"/>
      </rPr>
      <t xml:space="preserve"> Карт-принтер FARGO DTC1250e DS для двусторонней печати. Базовая модель</t>
    </r>
  </si>
  <si>
    <t>DTC1250e SS+MAG</t>
  </si>
  <si>
    <t>DTC1250e SS+Eth</t>
  </si>
  <si>
    <t>DTC1250e DS+MAG</t>
  </si>
  <si>
    <t>DTC1250e DS+Eth</t>
  </si>
  <si>
    <t>DTC1250e DS+Eth+MAG</t>
  </si>
  <si>
    <t>EX YMCKO</t>
  </si>
  <si>
    <t>DTC1250e SS+Eth+MAG</t>
  </si>
  <si>
    <t>DTC1500 SS</t>
  </si>
  <si>
    <t>DTC1500 DS</t>
  </si>
  <si>
    <t>DTC1500 SS+MAG</t>
  </si>
  <si>
    <t>DTC1500 DS+MAG</t>
  </si>
  <si>
    <t>DTC1500 DS LAM1</t>
  </si>
  <si>
    <t>RFID-tag</t>
  </si>
  <si>
    <t>DTC1500 DS+MAG+LAM1</t>
  </si>
  <si>
    <t>DTC Printhead</t>
  </si>
  <si>
    <t>DTC4250e DS+Eth</t>
  </si>
  <si>
    <t>DTC4250e DS</t>
  </si>
  <si>
    <t>DTC4250e SS</t>
  </si>
  <si>
    <t>DTC4250e SS+MAG</t>
  </si>
  <si>
    <t>DTC4250e DS+MAG</t>
  </si>
  <si>
    <t>DTC4500e SS</t>
  </si>
  <si>
    <t>DTC4500e DS+LAM2</t>
  </si>
  <si>
    <t>DTC4500e DS</t>
  </si>
  <si>
    <t>DTC4500e SS+MAG</t>
  </si>
  <si>
    <t>DTC4500e SS+Lock</t>
  </si>
  <si>
    <t>DTC4500e SS+MAG+Lock</t>
  </si>
  <si>
    <t>DTC4500e SS Combo</t>
  </si>
  <si>
    <t>DTC4500e SS Combo+MAG</t>
  </si>
  <si>
    <t>DTC4500e SS Combo+Lock</t>
  </si>
  <si>
    <t>DTC4500e SS Combo+MAG+Lock</t>
  </si>
  <si>
    <t>DTC4500e SS System</t>
  </si>
  <si>
    <t>DTC4250e SS System</t>
  </si>
  <si>
    <t>DTC4500e DS+MAG</t>
  </si>
  <si>
    <t>DTC4500e DS+Lock</t>
  </si>
  <si>
    <t>DTC4500e DS+MAG+Lock</t>
  </si>
  <si>
    <t>DTC4500e DS Combo</t>
  </si>
  <si>
    <t>Принтер DTC4500e DS ДВУсторонний. Комбинированный входной-выходной лоток для карт. Базовая модель+Кодировщик магнитной полосы</t>
  </si>
  <si>
    <t>DTC4500e DS Combo+MAG</t>
  </si>
  <si>
    <t>DTC4500e DS Combo+Lock</t>
  </si>
  <si>
    <t>DTC4500e DS Combo+MAG+Lock</t>
  </si>
  <si>
    <t>DTC4500e DS Combo+LAM1+Lock</t>
  </si>
  <si>
    <t>DTC4500e DS Combo+LAM1+MAG+Lock</t>
  </si>
  <si>
    <t>DTC4500e DS Combo+LAM2+MAG</t>
  </si>
  <si>
    <t>DTC4500e DS Combo+LAM2+Lock</t>
  </si>
  <si>
    <t>DTC4500e DS Combo+LAM2+MAG+Lock</t>
  </si>
  <si>
    <t>YMCKO: Лента и чистящий валик. Для DTC4500e. Полноцветная лента с полимерной чёрной панелью и прозрачным защитным слоем – 500 отпечатков</t>
  </si>
  <si>
    <t>DTC5500LMX</t>
  </si>
  <si>
    <t>DTC5500LMX+MAG</t>
  </si>
  <si>
    <t>DTC5500LMX+Smartcard Encoder</t>
  </si>
  <si>
    <t>YMCKO 1/1</t>
  </si>
  <si>
    <t>Принтер Fargo HDP5000e Односторонний. Базовая модель</t>
  </si>
  <si>
    <t>HDP5000e SS</t>
  </si>
  <si>
    <t>HDP5000e DS</t>
  </si>
  <si>
    <t>Принтер Fargo HDP5000e ДВУсторонний. Базовая модель</t>
  </si>
  <si>
    <t>HDP5000e SS System</t>
  </si>
  <si>
    <t>HDP5000e SS Encoding</t>
  </si>
  <si>
    <t>HDP5000e DS+LAM1</t>
  </si>
  <si>
    <t>HDP5000e SS+LAM1</t>
  </si>
  <si>
    <t>HDP5000e DS+LAM2</t>
  </si>
  <si>
    <t>HDP5000e DS+Encoding</t>
  </si>
  <si>
    <t>HDP5000e DS SET</t>
  </si>
  <si>
    <t>HDP6600 SS</t>
  </si>
  <si>
    <t>HDP6600 DS</t>
  </si>
  <si>
    <t>HDP6600 SS+Lock</t>
  </si>
  <si>
    <t>HDP6600 SS+Flattener</t>
  </si>
  <si>
    <t>HDP6600 SS+DH</t>
  </si>
  <si>
    <t>HDP6600 SS+DH+Lock</t>
  </si>
  <si>
    <t>HDP6600 SS+LAM1</t>
  </si>
  <si>
    <t>HDP6600 SS+Flattener+LAM1</t>
  </si>
  <si>
    <t>HDP6600 DS+DH</t>
  </si>
  <si>
    <t>HDP6600 DS+Lock</t>
  </si>
  <si>
    <t>HDP6600 DS+DH+Lock</t>
  </si>
  <si>
    <t>HDP6600 DS+Flattener</t>
  </si>
  <si>
    <t>HDP6600 DS+LAM1</t>
  </si>
  <si>
    <t>HDP6600 DS+Flattener+LAM1</t>
  </si>
  <si>
    <t>HDP6600 DS+LAM2</t>
  </si>
  <si>
    <t>HDP6600 DS+Flattener+LAM2</t>
  </si>
  <si>
    <t>HDP6600 Printhead</t>
  </si>
  <si>
    <t>HDP5000e Printhead</t>
  </si>
  <si>
    <t>Asure ID Solo</t>
  </si>
  <si>
    <t>Asure ID Express</t>
  </si>
  <si>
    <t>Asure ID Enterprise</t>
  </si>
  <si>
    <t>Asure ID Exchange</t>
  </si>
  <si>
    <t>DTC1250e SS Карт-принтер FARGO DTC1250e SS для односторонней печати. Базовая модель</t>
  </si>
  <si>
    <t>Ламинационные материалы для принтера HDP5000e/HDP5000</t>
  </si>
  <si>
    <t>Несущие ленты для принтера HDP5000e/HDP5000</t>
  </si>
  <si>
    <t>Чистящие материалы для принтера HDP5000e/HDP5000</t>
  </si>
  <si>
    <t>Карты и наклейки, рекомендованные для печати на принтере HDP5000e/HDP5000</t>
  </si>
  <si>
    <t>Чистящие ролики 10 штук.</t>
  </si>
  <si>
    <t>Чистящие ролики 3 штуки. Для DTC1250e/DTC4250e/DTC4500e.</t>
  </si>
  <si>
    <t>Чистящие карты с изопропиловым спиртом 10 штук. Для DTC1250e/DTC4250e/DTC4500e/HDP5000</t>
  </si>
  <si>
    <t>Чистящие карты 50 штук.</t>
  </si>
  <si>
    <t>Чистящие карты с изопропиловым спиртом 10 штук. Для DTC1250e/DTC4250e/DTC4500e/HDP5000e</t>
  </si>
  <si>
    <t>Чистящие карты с изопропиловым спиртом 10 штук. Для DTC1250e/DTC4250e/DTC4500e/HDP5000/HDP5000e</t>
  </si>
  <si>
    <t>Данный розничный прайс актуален с 20 октября 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</si>
</sst>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\ [$₸-43F];\-#,##0\ [$₸-43F]"/>
  </numFmts>
  <fonts count="27">
    <font>
      <sz val="10"/>
      <color rgb="FF000000"/>
      <name val="Arimo"/>
      <scheme val="minor"/>
    </font>
    <font>
      <b/>
      <sz val="12"/>
      <color theme="1"/>
      <name val="Arimo"/>
    </font>
    <font>
      <sz val="12"/>
      <color theme="1"/>
      <name val="Arimo"/>
    </font>
    <font>
      <u/>
      <sz val="14"/>
      <color rgb="FF0000FF"/>
      <name val="Arimo"/>
    </font>
    <font>
      <sz val="14"/>
      <color theme="1"/>
      <name val="Arimo"/>
    </font>
    <font>
      <b/>
      <sz val="14"/>
      <color rgb="FFFF0000"/>
      <name val="Arial"/>
      <family val="2"/>
      <charset val="204"/>
    </font>
    <font>
      <sz val="10"/>
      <name val="Arimo"/>
    </font>
    <font>
      <b/>
      <sz val="14"/>
      <color theme="1"/>
      <name val="Arial"/>
      <family val="2"/>
      <charset val="204"/>
    </font>
    <font>
      <b/>
      <sz val="11"/>
      <color theme="1"/>
      <name val="Cambria"/>
      <family val="1"/>
      <charset val="204"/>
    </font>
    <font>
      <b/>
      <sz val="12"/>
      <color theme="1"/>
      <name val="Cambria"/>
      <family val="1"/>
      <charset val="204"/>
    </font>
    <font>
      <sz val="9"/>
      <color theme="1"/>
      <name val="Arimo"/>
    </font>
    <font>
      <b/>
      <sz val="9"/>
      <color theme="1"/>
      <name val="Arimo"/>
    </font>
    <font>
      <sz val="10"/>
      <color theme="1"/>
      <name val="Arimo"/>
    </font>
    <font>
      <b/>
      <sz val="10"/>
      <color rgb="FFFF0000"/>
      <name val="Arimo"/>
    </font>
    <font>
      <sz val="9"/>
      <color theme="1"/>
      <name val="Arial Cyr"/>
    </font>
    <font>
      <sz val="8"/>
      <name val="Arimo"/>
      <scheme val="minor"/>
    </font>
    <font>
      <b/>
      <sz val="14"/>
      <color theme="1"/>
      <name val="Calibri"/>
      <family val="2"/>
      <charset val="204"/>
    </font>
    <font>
      <b/>
      <sz val="12"/>
      <color theme="1"/>
      <name val="Cambria"/>
      <family val="1"/>
      <charset val="204"/>
    </font>
    <font>
      <b/>
      <sz val="11"/>
      <color theme="1"/>
      <name val="Cambria"/>
      <family val="1"/>
      <charset val="204"/>
    </font>
    <font>
      <b/>
      <sz val="9"/>
      <color theme="1"/>
      <name val="Arial Cyr"/>
      <charset val="204"/>
    </font>
    <font>
      <sz val="9"/>
      <color theme="1"/>
      <name val="Arial Cyr"/>
      <charset val="204"/>
    </font>
    <font>
      <sz val="10"/>
      <name val="Arimo"/>
      <charset val="204"/>
    </font>
    <font>
      <b/>
      <sz val="10"/>
      <name val="Arimo"/>
      <charset val="204"/>
    </font>
    <font>
      <b/>
      <sz val="9"/>
      <color theme="1"/>
      <name val="Arimo"/>
      <charset val="204"/>
    </font>
    <font>
      <b/>
      <sz val="14"/>
      <name val="Arimo"/>
      <charset val="204"/>
      <scheme val="minor"/>
    </font>
    <font>
      <sz val="9"/>
      <color theme="1"/>
      <name val="Arial"/>
      <family val="2"/>
      <charset val="204"/>
    </font>
    <font>
      <sz val="9"/>
      <color theme="1"/>
      <name val="Arimo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FFCC00"/>
        <bgColor rgb="FFFFCC00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rgb="FF993366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34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3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49" fontId="2" fillId="0" borderId="0" xfId="0" applyNumberFormat="1" applyFont="1" applyAlignment="1">
      <alignment horizontal="right"/>
    </xf>
    <xf numFmtId="0" fontId="2" fillId="0" borderId="0" xfId="0" applyFont="1"/>
    <xf numFmtId="164" fontId="3" fillId="0" borderId="0" xfId="0" applyNumberFormat="1" applyFont="1" applyAlignment="1">
      <alignment horizontal="left"/>
    </xf>
    <xf numFmtId="0" fontId="4" fillId="0" borderId="0" xfId="0" applyFont="1"/>
    <xf numFmtId="0" fontId="7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vertical="center"/>
    </xf>
    <xf numFmtId="0" fontId="12" fillId="0" borderId="0" xfId="0" applyFont="1"/>
    <xf numFmtId="0" fontId="10" fillId="0" borderId="13" xfId="0" applyFont="1" applyBorder="1" applyAlignment="1">
      <alignment vertical="center"/>
    </xf>
    <xf numFmtId="0" fontId="13" fillId="0" borderId="0" xfId="0" applyFont="1"/>
    <xf numFmtId="0" fontId="10" fillId="0" borderId="14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165" fontId="11" fillId="3" borderId="18" xfId="0" applyNumberFormat="1" applyFont="1" applyFill="1" applyBorder="1" applyAlignment="1">
      <alignment horizontal="center" vertical="center"/>
    </xf>
    <xf numFmtId="165" fontId="11" fillId="4" borderId="18" xfId="0" applyNumberFormat="1" applyFont="1" applyFill="1" applyBorder="1" applyAlignment="1">
      <alignment horizontal="center" vertical="center"/>
    </xf>
    <xf numFmtId="49" fontId="10" fillId="0" borderId="13" xfId="0" applyNumberFormat="1" applyFont="1" applyBorder="1" applyAlignment="1">
      <alignment horizontal="center" vertical="center"/>
    </xf>
    <xf numFmtId="49" fontId="10" fillId="0" borderId="2" xfId="0" applyNumberFormat="1" applyFont="1" applyBorder="1" applyAlignment="1">
      <alignment horizontal="center" vertical="center"/>
    </xf>
    <xf numFmtId="49" fontId="10" fillId="0" borderId="0" xfId="0" applyNumberFormat="1" applyFont="1" applyAlignment="1">
      <alignment horizontal="center" vertical="center"/>
    </xf>
    <xf numFmtId="0" fontId="8" fillId="5" borderId="6" xfId="0" applyFont="1" applyFill="1" applyBorder="1" applyAlignment="1">
      <alignment horizontal="center" vertical="center" wrapText="1"/>
    </xf>
    <xf numFmtId="0" fontId="18" fillId="5" borderId="9" xfId="0" applyFont="1" applyFill="1" applyBorder="1" applyAlignment="1">
      <alignment horizontal="center" vertical="center" wrapText="1"/>
    </xf>
    <xf numFmtId="165" fontId="11" fillId="0" borderId="18" xfId="0" applyNumberFormat="1" applyFont="1" applyBorder="1" applyAlignment="1">
      <alignment horizontal="center" vertical="center"/>
    </xf>
    <xf numFmtId="0" fontId="10" fillId="0" borderId="13" xfId="0" applyFont="1" applyBorder="1" applyAlignment="1">
      <alignment horizontal="left" vertical="center" wrapText="1"/>
    </xf>
    <xf numFmtId="0" fontId="10" fillId="0" borderId="21" xfId="0" applyFont="1" applyBorder="1" applyAlignment="1">
      <alignment horizontal="left" vertical="center" wrapText="1"/>
    </xf>
    <xf numFmtId="49" fontId="10" fillId="0" borderId="21" xfId="0" applyNumberFormat="1" applyFont="1" applyBorder="1" applyAlignment="1">
      <alignment horizontal="center" vertical="center"/>
    </xf>
    <xf numFmtId="49" fontId="10" fillId="3" borderId="15" xfId="0" applyNumberFormat="1" applyFont="1" applyFill="1" applyBorder="1" applyAlignment="1">
      <alignment horizontal="center" vertical="center"/>
    </xf>
    <xf numFmtId="49" fontId="10" fillId="4" borderId="15" xfId="0" applyNumberFormat="1" applyFont="1" applyFill="1" applyBorder="1" applyAlignment="1">
      <alignment horizontal="center" vertical="center"/>
    </xf>
    <xf numFmtId="49" fontId="10" fillId="7" borderId="15" xfId="0" applyNumberFormat="1" applyFont="1" applyFill="1" applyBorder="1" applyAlignment="1">
      <alignment horizontal="center" vertical="center"/>
    </xf>
    <xf numFmtId="165" fontId="11" fillId="7" borderId="18" xfId="0" applyNumberFormat="1" applyFont="1" applyFill="1" applyBorder="1" applyAlignment="1">
      <alignment horizontal="center" vertical="center"/>
    </xf>
    <xf numFmtId="49" fontId="10" fillId="0" borderId="15" xfId="0" applyNumberFormat="1" applyFont="1" applyBorder="1" applyAlignment="1">
      <alignment horizontal="center" vertical="center"/>
    </xf>
    <xf numFmtId="49" fontId="10" fillId="8" borderId="15" xfId="0" applyNumberFormat="1" applyFont="1" applyFill="1" applyBorder="1" applyAlignment="1">
      <alignment horizontal="center" vertical="center"/>
    </xf>
    <xf numFmtId="165" fontId="11" fillId="8" borderId="18" xfId="0" applyNumberFormat="1" applyFont="1" applyFill="1" applyBorder="1" applyAlignment="1">
      <alignment horizontal="center" vertical="center"/>
    </xf>
    <xf numFmtId="49" fontId="10" fillId="9" borderId="15" xfId="0" applyNumberFormat="1" applyFont="1" applyFill="1" applyBorder="1" applyAlignment="1">
      <alignment horizontal="center" vertical="center"/>
    </xf>
    <xf numFmtId="165" fontId="11" fillId="9" borderId="18" xfId="0" applyNumberFormat="1" applyFont="1" applyFill="1" applyBorder="1" applyAlignment="1">
      <alignment horizontal="center" vertical="center"/>
    </xf>
    <xf numFmtId="1" fontId="10" fillId="0" borderId="13" xfId="0" applyNumberFormat="1" applyFont="1" applyBorder="1" applyAlignment="1">
      <alignment horizontal="center" vertical="center"/>
    </xf>
    <xf numFmtId="1" fontId="10" fillId="0" borderId="2" xfId="0" applyNumberFormat="1" applyFont="1" applyBorder="1" applyAlignment="1">
      <alignment horizontal="center" vertical="center"/>
    </xf>
    <xf numFmtId="1" fontId="10" fillId="0" borderId="14" xfId="0" applyNumberFormat="1" applyFont="1" applyBorder="1" applyAlignment="1">
      <alignment horizontal="center" vertical="center"/>
    </xf>
    <xf numFmtId="165" fontId="0" fillId="0" borderId="0" xfId="0" applyNumberFormat="1"/>
    <xf numFmtId="0" fontId="24" fillId="0" borderId="0" xfId="0" applyFont="1"/>
    <xf numFmtId="49" fontId="23" fillId="0" borderId="15" xfId="0" applyNumberFormat="1" applyFont="1" applyBorder="1" applyAlignment="1">
      <alignment horizontal="center" vertical="center"/>
    </xf>
    <xf numFmtId="49" fontId="10" fillId="9" borderId="27" xfId="0" applyNumberFormat="1" applyFont="1" applyFill="1" applyBorder="1" applyAlignment="1">
      <alignment horizontal="center" vertical="center"/>
    </xf>
    <xf numFmtId="0" fontId="14" fillId="9" borderId="28" xfId="0" applyFont="1" applyFill="1" applyBorder="1" applyAlignment="1">
      <alignment horizontal="left" vertical="center" wrapText="1"/>
    </xf>
    <xf numFmtId="0" fontId="6" fillId="9" borderId="28" xfId="0" applyFont="1" applyFill="1" applyBorder="1"/>
    <xf numFmtId="165" fontId="11" fillId="9" borderId="29" xfId="0" applyNumberFormat="1" applyFont="1" applyFill="1" applyBorder="1" applyAlignment="1">
      <alignment horizontal="center" vertical="center"/>
    </xf>
    <xf numFmtId="0" fontId="8" fillId="5" borderId="7" xfId="0" applyFont="1" applyFill="1" applyBorder="1" applyAlignment="1">
      <alignment horizontal="center" vertical="center" wrapText="1"/>
    </xf>
    <xf numFmtId="0" fontId="8" fillId="5" borderId="11" xfId="0" applyFont="1" applyFill="1" applyBorder="1" applyAlignment="1">
      <alignment horizontal="center" vertical="center" wrapText="1"/>
    </xf>
    <xf numFmtId="49" fontId="10" fillId="4" borderId="4" xfId="0" applyNumberFormat="1" applyFont="1" applyFill="1" applyBorder="1" applyAlignment="1">
      <alignment horizontal="center" vertical="center"/>
    </xf>
    <xf numFmtId="49" fontId="10" fillId="0" borderId="19" xfId="0" applyNumberFormat="1" applyFont="1" applyBorder="1" applyAlignment="1">
      <alignment horizontal="center" vertical="center"/>
    </xf>
    <xf numFmtId="49" fontId="10" fillId="0" borderId="24" xfId="0" applyNumberFormat="1" applyFont="1" applyBorder="1" applyAlignment="1">
      <alignment horizontal="center" vertical="center"/>
    </xf>
    <xf numFmtId="49" fontId="25" fillId="3" borderId="4" xfId="0" applyNumberFormat="1" applyFont="1" applyFill="1" applyBorder="1" applyAlignment="1">
      <alignment horizontal="center" vertical="center"/>
    </xf>
    <xf numFmtId="49" fontId="26" fillId="4" borderId="4" xfId="0" applyNumberFormat="1" applyFont="1" applyFill="1" applyBorder="1" applyAlignment="1">
      <alignment horizontal="center" vertical="center"/>
    </xf>
    <xf numFmtId="49" fontId="10" fillId="0" borderId="4" xfId="0" applyNumberFormat="1" applyFont="1" applyBorder="1" applyAlignment="1">
      <alignment horizontal="center" vertical="center"/>
    </xf>
    <xf numFmtId="49" fontId="10" fillId="0" borderId="20" xfId="0" applyNumberFormat="1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49" fontId="25" fillId="4" borderId="4" xfId="0" applyNumberFormat="1" applyFont="1" applyFill="1" applyBorder="1" applyAlignment="1">
      <alignment horizontal="center" vertical="center"/>
    </xf>
    <xf numFmtId="49" fontId="25" fillId="7" borderId="4" xfId="0" applyNumberFormat="1" applyFont="1" applyFill="1" applyBorder="1" applyAlignment="1">
      <alignment horizontal="center" vertical="center"/>
    </xf>
    <xf numFmtId="49" fontId="10" fillId="0" borderId="4" xfId="0" applyNumberFormat="1" applyFont="1" applyBorder="1" applyAlignment="1">
      <alignment horizontal="center" vertical="center" wrapText="1"/>
    </xf>
    <xf numFmtId="49" fontId="10" fillId="8" borderId="4" xfId="0" applyNumberFormat="1" applyFont="1" applyFill="1" applyBorder="1" applyAlignment="1">
      <alignment horizontal="center" vertical="center"/>
    </xf>
    <xf numFmtId="49" fontId="10" fillId="9" borderId="4" xfId="0" applyNumberFormat="1" applyFont="1" applyFill="1" applyBorder="1" applyAlignment="1">
      <alignment horizontal="center" vertical="center"/>
    </xf>
    <xf numFmtId="49" fontId="23" fillId="0" borderId="4" xfId="0" applyNumberFormat="1" applyFont="1" applyBorder="1" applyAlignment="1">
      <alignment horizontal="center" vertical="center"/>
    </xf>
    <xf numFmtId="49" fontId="10" fillId="9" borderId="0" xfId="0" applyNumberFormat="1" applyFont="1" applyFill="1" applyAlignment="1">
      <alignment horizontal="center" vertical="center"/>
    </xf>
    <xf numFmtId="49" fontId="25" fillId="8" borderId="4" xfId="0" applyNumberFormat="1" applyFont="1" applyFill="1" applyBorder="1" applyAlignment="1">
      <alignment horizontal="center" vertical="center"/>
    </xf>
    <xf numFmtId="49" fontId="25" fillId="9" borderId="4" xfId="0" applyNumberFormat="1" applyFont="1" applyFill="1" applyBorder="1" applyAlignment="1">
      <alignment horizontal="center" vertical="center"/>
    </xf>
    <xf numFmtId="0" fontId="8" fillId="5" borderId="9" xfId="0" applyFont="1" applyFill="1" applyBorder="1" applyAlignment="1">
      <alignment horizontal="center" vertical="center" wrapText="1"/>
    </xf>
    <xf numFmtId="49" fontId="25" fillId="0" borderId="19" xfId="0" applyNumberFormat="1" applyFont="1" applyBorder="1" applyAlignment="1">
      <alignment horizontal="center" vertical="center"/>
    </xf>
    <xf numFmtId="49" fontId="25" fillId="0" borderId="2" xfId="0" applyNumberFormat="1" applyFont="1" applyBorder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0" fontId="25" fillId="0" borderId="13" xfId="0" applyFont="1" applyBorder="1" applyAlignment="1">
      <alignment vertical="center"/>
    </xf>
    <xf numFmtId="0" fontId="25" fillId="0" borderId="2" xfId="0" applyFont="1" applyBorder="1" applyAlignment="1">
      <alignment vertical="center"/>
    </xf>
    <xf numFmtId="49" fontId="26" fillId="0" borderId="15" xfId="0" applyNumberFormat="1" applyFont="1" applyBorder="1" applyAlignment="1">
      <alignment horizontal="center" vertical="center"/>
    </xf>
    <xf numFmtId="164" fontId="3" fillId="0" borderId="0" xfId="0" applyNumberFormat="1" applyFont="1" applyAlignment="1">
      <alignment horizontal="left"/>
    </xf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5" fillId="0" borderId="22" xfId="0" applyFont="1" applyBorder="1" applyAlignment="1">
      <alignment horizontal="center" vertical="center" wrapText="1"/>
    </xf>
    <xf numFmtId="0" fontId="6" fillId="0" borderId="1" xfId="0" applyFont="1" applyBorder="1"/>
    <xf numFmtId="0" fontId="6" fillId="0" borderId="23" xfId="0" applyFont="1" applyBorder="1"/>
    <xf numFmtId="0" fontId="6" fillId="0" borderId="19" xfId="0" applyFont="1" applyBorder="1"/>
    <xf numFmtId="0" fontId="6" fillId="0" borderId="4" xfId="0" applyFont="1" applyBorder="1"/>
    <xf numFmtId="0" fontId="6" fillId="0" borderId="20" xfId="0" applyFont="1" applyBorder="1"/>
    <xf numFmtId="0" fontId="17" fillId="2" borderId="10" xfId="0" applyFont="1" applyFill="1" applyBorder="1" applyAlignment="1">
      <alignment horizontal="center"/>
    </xf>
    <xf numFmtId="0" fontId="17" fillId="2" borderId="11" xfId="0" applyFont="1" applyFill="1" applyBorder="1" applyAlignment="1">
      <alignment horizontal="center"/>
    </xf>
    <xf numFmtId="0" fontId="6" fillId="0" borderId="11" xfId="0" applyFont="1" applyBorder="1"/>
    <xf numFmtId="0" fontId="6" fillId="0" borderId="12" xfId="0" applyFont="1" applyBorder="1"/>
    <xf numFmtId="0" fontId="10" fillId="0" borderId="24" xfId="0" applyFont="1" applyBorder="1" applyAlignment="1">
      <alignment horizontal="left" vertical="center" wrapText="1"/>
    </xf>
    <xf numFmtId="0" fontId="0" fillId="0" borderId="25" xfId="0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6" fillId="0" borderId="5" xfId="0" applyFont="1" applyBorder="1"/>
    <xf numFmtId="0" fontId="9" fillId="2" borderId="10" xfId="0" applyFont="1" applyFill="1" applyBorder="1" applyAlignment="1">
      <alignment horizontal="center"/>
    </xf>
    <xf numFmtId="0" fontId="9" fillId="2" borderId="11" xfId="0" applyFont="1" applyFill="1" applyBorder="1" applyAlignment="1">
      <alignment horizontal="center"/>
    </xf>
    <xf numFmtId="0" fontId="20" fillId="3" borderId="16" xfId="0" applyFont="1" applyFill="1" applyBorder="1" applyAlignment="1">
      <alignment horizontal="left" vertical="center" wrapText="1"/>
    </xf>
    <xf numFmtId="0" fontId="21" fillId="0" borderId="17" xfId="0" applyFont="1" applyBorder="1"/>
    <xf numFmtId="0" fontId="14" fillId="3" borderId="16" xfId="0" applyFont="1" applyFill="1" applyBorder="1" applyAlignment="1">
      <alignment horizontal="left" vertical="center" wrapText="1"/>
    </xf>
    <xf numFmtId="0" fontId="6" fillId="0" borderId="17" xfId="0" applyFont="1" applyBorder="1"/>
    <xf numFmtId="0" fontId="20" fillId="4" borderId="16" xfId="0" applyFont="1" applyFill="1" applyBorder="1" applyAlignment="1">
      <alignment horizontal="left" vertical="center" wrapText="1"/>
    </xf>
    <xf numFmtId="0" fontId="6" fillId="4" borderId="17" xfId="0" applyFont="1" applyFill="1" applyBorder="1"/>
    <xf numFmtId="0" fontId="12" fillId="0" borderId="0" xfId="0" applyFont="1" applyAlignment="1">
      <alignment horizontal="center"/>
    </xf>
    <xf numFmtId="0" fontId="8" fillId="5" borderId="7" xfId="0" applyFont="1" applyFill="1" applyBorder="1" applyAlignment="1">
      <alignment horizontal="center" vertical="center" wrapText="1"/>
    </xf>
    <xf numFmtId="0" fontId="6" fillId="6" borderId="8" xfId="0" applyFont="1" applyFill="1" applyBorder="1"/>
    <xf numFmtId="0" fontId="17" fillId="2" borderId="10" xfId="0" applyFont="1" applyFill="1" applyBorder="1" applyAlignment="1">
      <alignment horizontal="center" wrapText="1"/>
    </xf>
    <xf numFmtId="0" fontId="17" fillId="2" borderId="11" xfId="0" applyFont="1" applyFill="1" applyBorder="1" applyAlignment="1">
      <alignment horizontal="center" wrapText="1"/>
    </xf>
    <xf numFmtId="0" fontId="21" fillId="4" borderId="17" xfId="0" applyFont="1" applyFill="1" applyBorder="1"/>
    <xf numFmtId="0" fontId="0" fillId="0" borderId="25" xfId="0" applyBorder="1"/>
    <xf numFmtId="0" fontId="20" fillId="0" borderId="16" xfId="0" applyFont="1" applyBorder="1" applyAlignment="1">
      <alignment horizontal="left" vertical="center" wrapText="1"/>
    </xf>
    <xf numFmtId="0" fontId="6" fillId="0" borderId="31" xfId="0" applyFont="1" applyBorder="1"/>
    <xf numFmtId="0" fontId="20" fillId="0" borderId="24" xfId="0" applyFont="1" applyBorder="1" applyAlignment="1">
      <alignment horizontal="left" vertical="center" wrapText="1"/>
    </xf>
    <xf numFmtId="0" fontId="0" fillId="0" borderId="30" xfId="0" applyBorder="1"/>
    <xf numFmtId="0" fontId="10" fillId="0" borderId="16" xfId="0" applyFont="1" applyBorder="1" applyAlignment="1">
      <alignment vertical="center"/>
    </xf>
    <xf numFmtId="0" fontId="0" fillId="0" borderId="17" xfId="0" applyBorder="1" applyAlignment="1">
      <alignment vertical="center"/>
    </xf>
    <xf numFmtId="0" fontId="10" fillId="0" borderId="24" xfId="0" applyFont="1" applyBorder="1" applyAlignment="1">
      <alignment vertical="center"/>
    </xf>
    <xf numFmtId="0" fontId="0" fillId="0" borderId="25" xfId="0" applyBorder="1" applyAlignment="1">
      <alignment vertical="center"/>
    </xf>
    <xf numFmtId="0" fontId="10" fillId="0" borderId="32" xfId="0" applyFont="1" applyBorder="1" applyAlignment="1">
      <alignment vertical="center"/>
    </xf>
    <xf numFmtId="0" fontId="0" fillId="0" borderId="33" xfId="0" applyBorder="1" applyAlignment="1">
      <alignment vertical="center"/>
    </xf>
    <xf numFmtId="0" fontId="20" fillId="7" borderId="16" xfId="0" applyFont="1" applyFill="1" applyBorder="1" applyAlignment="1">
      <alignment horizontal="left" vertical="center" wrapText="1"/>
    </xf>
    <xf numFmtId="0" fontId="6" fillId="7" borderId="17" xfId="0" applyFont="1" applyFill="1" applyBorder="1"/>
    <xf numFmtId="0" fontId="19" fillId="3" borderId="16" xfId="0" applyFont="1" applyFill="1" applyBorder="1" applyAlignment="1">
      <alignment horizontal="left" vertical="center" wrapText="1"/>
    </xf>
    <xf numFmtId="0" fontId="22" fillId="0" borderId="17" xfId="0" applyFont="1" applyBorder="1"/>
    <xf numFmtId="0" fontId="19" fillId="4" borderId="16" xfId="0" applyFont="1" applyFill="1" applyBorder="1" applyAlignment="1">
      <alignment horizontal="left" vertical="center" wrapText="1"/>
    </xf>
    <xf numFmtId="0" fontId="22" fillId="4" borderId="17" xfId="0" applyFont="1" applyFill="1" applyBorder="1"/>
    <xf numFmtId="0" fontId="10" fillId="0" borderId="24" xfId="0" applyFont="1" applyBorder="1" applyAlignment="1">
      <alignment vertical="center" wrapText="1"/>
    </xf>
    <xf numFmtId="0" fontId="0" fillId="0" borderId="25" xfId="0" applyBorder="1" applyAlignment="1">
      <alignment vertical="center" wrapText="1"/>
    </xf>
    <xf numFmtId="0" fontId="9" fillId="2" borderId="10" xfId="0" applyFont="1" applyFill="1" applyBorder="1" applyAlignment="1">
      <alignment horizontal="center" wrapText="1"/>
    </xf>
    <xf numFmtId="0" fontId="9" fillId="2" borderId="11" xfId="0" applyFont="1" applyFill="1" applyBorder="1" applyAlignment="1">
      <alignment horizontal="center" wrapText="1"/>
    </xf>
    <xf numFmtId="0" fontId="0" fillId="0" borderId="26" xfId="0" applyBorder="1"/>
    <xf numFmtId="0" fontId="20" fillId="4" borderId="7" xfId="0" applyFont="1" applyFill="1" applyBorder="1" applyAlignment="1">
      <alignment horizontal="left" vertical="center" wrapText="1"/>
    </xf>
    <xf numFmtId="0" fontId="20" fillId="4" borderId="8" xfId="0" applyFont="1" applyFill="1" applyBorder="1" applyAlignment="1">
      <alignment horizontal="left" vertical="center" wrapText="1"/>
    </xf>
    <xf numFmtId="0" fontId="10" fillId="0" borderId="16" xfId="0" applyFont="1" applyBorder="1" applyAlignment="1">
      <alignment vertical="center" wrapText="1"/>
    </xf>
    <xf numFmtId="0" fontId="0" fillId="0" borderId="17" xfId="0" applyBorder="1" applyAlignment="1">
      <alignment vertical="center" wrapText="1"/>
    </xf>
    <xf numFmtId="0" fontId="14" fillId="0" borderId="16" xfId="0" applyFont="1" applyBorder="1" applyAlignment="1">
      <alignment horizontal="left" vertical="center" wrapText="1"/>
    </xf>
    <xf numFmtId="0" fontId="14" fillId="9" borderId="16" xfId="0" applyFont="1" applyFill="1" applyBorder="1" applyAlignment="1">
      <alignment horizontal="left" vertical="center" wrapText="1"/>
    </xf>
    <xf numFmtId="0" fontId="6" fillId="9" borderId="17" xfId="0" applyFont="1" applyFill="1" applyBorder="1"/>
    <xf numFmtId="0" fontId="20" fillId="8" borderId="16" xfId="0" applyFont="1" applyFill="1" applyBorder="1" applyAlignment="1">
      <alignment horizontal="left" vertical="center" wrapText="1"/>
    </xf>
    <xf numFmtId="0" fontId="21" fillId="8" borderId="17" xfId="0" applyFont="1" applyFill="1" applyBorder="1"/>
    <xf numFmtId="0" fontId="6" fillId="0" borderId="25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00C032"/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21" Type="http://customschemas.google.com/relationships/workbookmetadata" Target="metadata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36.png"/><Relationship Id="rId2" Type="http://schemas.openxmlformats.org/officeDocument/2006/relationships/image" Target="../media/image31.png"/><Relationship Id="rId1" Type="http://schemas.openxmlformats.org/officeDocument/2006/relationships/image" Target="../media/image30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6.png"/><Relationship Id="rId2" Type="http://schemas.openxmlformats.org/officeDocument/2006/relationships/image" Target="../media/image25.png"/><Relationship Id="rId1" Type="http://schemas.openxmlformats.org/officeDocument/2006/relationships/image" Target="../media/image17.png"/><Relationship Id="rId4" Type="http://schemas.openxmlformats.org/officeDocument/2006/relationships/image" Target="../media/image29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1.png"/><Relationship Id="rId1" Type="http://schemas.openxmlformats.org/officeDocument/2006/relationships/image" Target="../media/image10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png"/><Relationship Id="rId3" Type="http://schemas.openxmlformats.org/officeDocument/2006/relationships/image" Target="../media/image5.png"/><Relationship Id="rId7" Type="http://schemas.openxmlformats.org/officeDocument/2006/relationships/image" Target="../media/image9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6" Type="http://schemas.openxmlformats.org/officeDocument/2006/relationships/image" Target="../media/image8.png"/><Relationship Id="rId11" Type="http://schemas.openxmlformats.org/officeDocument/2006/relationships/image" Target="../media/image13.png"/><Relationship Id="rId5" Type="http://schemas.openxmlformats.org/officeDocument/2006/relationships/image" Target="../media/image7.png"/><Relationship Id="rId10" Type="http://schemas.openxmlformats.org/officeDocument/2006/relationships/image" Target="../media/image12.png"/><Relationship Id="rId4" Type="http://schemas.openxmlformats.org/officeDocument/2006/relationships/image" Target="../media/image6.png"/><Relationship Id="rId9" Type="http://schemas.openxmlformats.org/officeDocument/2006/relationships/image" Target="../media/image11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6.png"/><Relationship Id="rId3" Type="http://schemas.openxmlformats.org/officeDocument/2006/relationships/image" Target="../media/image11.png"/><Relationship Id="rId7" Type="http://schemas.openxmlformats.org/officeDocument/2006/relationships/image" Target="../media/image13.png"/><Relationship Id="rId2" Type="http://schemas.openxmlformats.org/officeDocument/2006/relationships/image" Target="../media/image10.png"/><Relationship Id="rId1" Type="http://schemas.openxmlformats.org/officeDocument/2006/relationships/image" Target="../media/image5.png"/><Relationship Id="rId6" Type="http://schemas.openxmlformats.org/officeDocument/2006/relationships/image" Target="../media/image15.jpeg"/><Relationship Id="rId5" Type="http://schemas.openxmlformats.org/officeDocument/2006/relationships/image" Target="../media/image14.png"/><Relationship Id="rId4" Type="http://schemas.openxmlformats.org/officeDocument/2006/relationships/image" Target="../media/image12.png"/><Relationship Id="rId9" Type="http://schemas.openxmlformats.org/officeDocument/2006/relationships/image" Target="../media/image17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png"/><Relationship Id="rId3" Type="http://schemas.openxmlformats.org/officeDocument/2006/relationships/image" Target="../media/image7.png"/><Relationship Id="rId7" Type="http://schemas.openxmlformats.org/officeDocument/2006/relationships/image" Target="../media/image11.png"/><Relationship Id="rId12" Type="http://schemas.openxmlformats.org/officeDocument/2006/relationships/image" Target="../media/image21.png"/><Relationship Id="rId2" Type="http://schemas.openxmlformats.org/officeDocument/2006/relationships/image" Target="../media/image6.png"/><Relationship Id="rId1" Type="http://schemas.openxmlformats.org/officeDocument/2006/relationships/image" Target="../media/image13.png"/><Relationship Id="rId6" Type="http://schemas.openxmlformats.org/officeDocument/2006/relationships/image" Target="../media/image10.png"/><Relationship Id="rId11" Type="http://schemas.openxmlformats.org/officeDocument/2006/relationships/image" Target="../media/image20.png"/><Relationship Id="rId5" Type="http://schemas.openxmlformats.org/officeDocument/2006/relationships/image" Target="../media/image9.png"/><Relationship Id="rId10" Type="http://schemas.openxmlformats.org/officeDocument/2006/relationships/image" Target="../media/image19.png"/><Relationship Id="rId4" Type="http://schemas.openxmlformats.org/officeDocument/2006/relationships/image" Target="../media/image8.png"/><Relationship Id="rId9" Type="http://schemas.openxmlformats.org/officeDocument/2006/relationships/image" Target="../media/image18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24.png"/><Relationship Id="rId3" Type="http://schemas.openxmlformats.org/officeDocument/2006/relationships/image" Target="../media/image12.png"/><Relationship Id="rId7" Type="http://schemas.openxmlformats.org/officeDocument/2006/relationships/image" Target="../media/image9.png"/><Relationship Id="rId2" Type="http://schemas.openxmlformats.org/officeDocument/2006/relationships/image" Target="../media/image11.png"/><Relationship Id="rId1" Type="http://schemas.openxmlformats.org/officeDocument/2006/relationships/image" Target="../media/image10.png"/><Relationship Id="rId6" Type="http://schemas.openxmlformats.org/officeDocument/2006/relationships/image" Target="../media/image5.png"/><Relationship Id="rId11" Type="http://schemas.openxmlformats.org/officeDocument/2006/relationships/image" Target="../media/image17.png"/><Relationship Id="rId5" Type="http://schemas.openxmlformats.org/officeDocument/2006/relationships/image" Target="../media/image23.png"/><Relationship Id="rId10" Type="http://schemas.openxmlformats.org/officeDocument/2006/relationships/image" Target="../media/image26.png"/><Relationship Id="rId4" Type="http://schemas.openxmlformats.org/officeDocument/2006/relationships/image" Target="../media/image22.png"/><Relationship Id="rId9" Type="http://schemas.openxmlformats.org/officeDocument/2006/relationships/image" Target="../media/image25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7" Type="http://schemas.openxmlformats.org/officeDocument/2006/relationships/image" Target="../media/image29.png"/><Relationship Id="rId2" Type="http://schemas.openxmlformats.org/officeDocument/2006/relationships/image" Target="../media/image23.png"/><Relationship Id="rId1" Type="http://schemas.openxmlformats.org/officeDocument/2006/relationships/image" Target="../media/image10.png"/><Relationship Id="rId6" Type="http://schemas.openxmlformats.org/officeDocument/2006/relationships/image" Target="../media/image28.png"/><Relationship Id="rId5" Type="http://schemas.openxmlformats.org/officeDocument/2006/relationships/image" Target="../media/image27.png"/><Relationship Id="rId4" Type="http://schemas.openxmlformats.org/officeDocument/2006/relationships/image" Target="../media/image9.png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image" Target="../media/image26.png"/><Relationship Id="rId3" Type="http://schemas.openxmlformats.org/officeDocument/2006/relationships/image" Target="../media/image5.png"/><Relationship Id="rId7" Type="http://schemas.openxmlformats.org/officeDocument/2006/relationships/image" Target="../media/image25.png"/><Relationship Id="rId12" Type="http://schemas.openxmlformats.org/officeDocument/2006/relationships/image" Target="../media/image34.png"/><Relationship Id="rId2" Type="http://schemas.openxmlformats.org/officeDocument/2006/relationships/image" Target="../media/image11.png"/><Relationship Id="rId1" Type="http://schemas.openxmlformats.org/officeDocument/2006/relationships/image" Target="../media/image10.png"/><Relationship Id="rId6" Type="http://schemas.openxmlformats.org/officeDocument/2006/relationships/image" Target="../media/image31.png"/><Relationship Id="rId11" Type="http://schemas.openxmlformats.org/officeDocument/2006/relationships/image" Target="../media/image33.png"/><Relationship Id="rId5" Type="http://schemas.openxmlformats.org/officeDocument/2006/relationships/image" Target="../media/image30.png"/><Relationship Id="rId10" Type="http://schemas.openxmlformats.org/officeDocument/2006/relationships/image" Target="../media/image32.png"/><Relationship Id="rId4" Type="http://schemas.openxmlformats.org/officeDocument/2006/relationships/image" Target="../media/image9.png"/><Relationship Id="rId9" Type="http://schemas.openxmlformats.org/officeDocument/2006/relationships/image" Target="../media/image17.png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image" Target="../media/image36.png"/><Relationship Id="rId3" Type="http://schemas.openxmlformats.org/officeDocument/2006/relationships/image" Target="../media/image31.png"/><Relationship Id="rId7" Type="http://schemas.openxmlformats.org/officeDocument/2006/relationships/image" Target="../media/image35.png"/><Relationship Id="rId2" Type="http://schemas.openxmlformats.org/officeDocument/2006/relationships/image" Target="../media/image5.png"/><Relationship Id="rId1" Type="http://schemas.openxmlformats.org/officeDocument/2006/relationships/image" Target="../media/image11.png"/><Relationship Id="rId6" Type="http://schemas.openxmlformats.org/officeDocument/2006/relationships/image" Target="../media/image17.png"/><Relationship Id="rId5" Type="http://schemas.openxmlformats.org/officeDocument/2006/relationships/image" Target="../media/image26.png"/><Relationship Id="rId4" Type="http://schemas.openxmlformats.org/officeDocument/2006/relationships/image" Target="../media/image25.png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image" Target="../media/image21.png"/><Relationship Id="rId3" Type="http://schemas.openxmlformats.org/officeDocument/2006/relationships/image" Target="../media/image6.png"/><Relationship Id="rId7" Type="http://schemas.openxmlformats.org/officeDocument/2006/relationships/image" Target="../media/image16.png"/><Relationship Id="rId2" Type="http://schemas.openxmlformats.org/officeDocument/2006/relationships/image" Target="../media/image5.png"/><Relationship Id="rId1" Type="http://schemas.openxmlformats.org/officeDocument/2006/relationships/image" Target="../media/image13.png"/><Relationship Id="rId6" Type="http://schemas.openxmlformats.org/officeDocument/2006/relationships/image" Target="../media/image9.png"/><Relationship Id="rId5" Type="http://schemas.openxmlformats.org/officeDocument/2006/relationships/image" Target="../media/image8.png"/><Relationship Id="rId10" Type="http://schemas.openxmlformats.org/officeDocument/2006/relationships/image" Target="../media/image28.png"/><Relationship Id="rId4" Type="http://schemas.openxmlformats.org/officeDocument/2006/relationships/image" Target="../media/image7.png"/><Relationship Id="rId9" Type="http://schemas.openxmlformats.org/officeDocument/2006/relationships/image" Target="../media/image2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200025</xdr:colOff>
      <xdr:row>15</xdr:row>
      <xdr:rowOff>0</xdr:rowOff>
    </xdr:from>
    <xdr:ext cx="209550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5245988" y="3651413"/>
          <a:ext cx="200025" cy="2571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47625</xdr:colOff>
      <xdr:row>20</xdr:row>
      <xdr:rowOff>0</xdr:rowOff>
    </xdr:from>
    <xdr:ext cx="257175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5222175" y="3646650"/>
          <a:ext cx="24765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247650</xdr:colOff>
      <xdr:row>0</xdr:row>
      <xdr:rowOff>57150</xdr:rowOff>
    </xdr:from>
    <xdr:ext cx="5261610" cy="1398270"/>
    <xdr:grpSp>
      <xdr:nvGrpSpPr>
        <xdr:cNvPr id="2" name="Shap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247650" y="57150"/>
          <a:ext cx="5261610" cy="1398270"/>
          <a:chOff x="2383725" y="3141825"/>
          <a:chExt cx="5924531" cy="1314450"/>
        </a:xfrm>
      </xdr:grpSpPr>
      <xdr:grpSp>
        <xdr:nvGrpSpPr>
          <xdr:cNvPr id="5" name="Shape 5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GrpSpPr/>
        </xdr:nvGrpSpPr>
        <xdr:grpSpPr>
          <a:xfrm>
            <a:off x="2383725" y="3141825"/>
            <a:ext cx="5924531" cy="1314450"/>
            <a:chOff x="188259" y="50268"/>
            <a:chExt cx="5741500" cy="1385351"/>
          </a:xfrm>
        </xdr:grpSpPr>
        <xdr:sp macro="" textlink="">
          <xdr:nvSpPr>
            <xdr:cNvPr id="6" name="Shape 6">
              <a:extLst>
                <a:ext uri="{FF2B5EF4-FFF2-40B4-BE49-F238E27FC236}">
                  <a16:creationId xmlns:a16="http://schemas.microsoft.com/office/drawing/2014/main" id="{00000000-0008-0000-0000-000006000000}"/>
                </a:ext>
              </a:extLst>
            </xdr:cNvPr>
            <xdr:cNvSpPr/>
          </xdr:nvSpPr>
          <xdr:spPr>
            <a:xfrm>
              <a:off x="188259" y="50268"/>
              <a:ext cx="5741500" cy="13451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7" name="Shape 7">
              <a:extLst>
                <a:ext uri="{FF2B5EF4-FFF2-40B4-BE49-F238E27FC236}">
                  <a16:creationId xmlns:a16="http://schemas.microsoft.com/office/drawing/2014/main" id="{00000000-0008-0000-0000-000007000000}"/>
                </a:ext>
              </a:extLst>
            </xdr:cNvPr>
            <xdr:cNvSpPr/>
          </xdr:nvSpPr>
          <xdr:spPr>
            <a:xfrm>
              <a:off x="1648407" y="90423"/>
              <a:ext cx="3483618" cy="1345196"/>
            </a:xfrm>
            <a:prstGeom prst="roundRect">
              <a:avLst>
                <a:gd name="adj" fmla="val 16667"/>
              </a:avLst>
            </a:prstGeom>
            <a:solidFill>
              <a:srgbClr val="FFFFFF"/>
            </a:solidFill>
            <a:ln w="25400" cap="flat" cmpd="sng">
              <a:solidFill>
                <a:srgbClr val="FFFFFF"/>
              </a:solidFill>
              <a:prstDash val="solid"/>
              <a:miter lim="800000"/>
              <a:headEnd type="none" w="sm" len="sm"/>
              <a:tailEnd type="none" w="sm" len="sm"/>
            </a:ln>
          </xdr:spPr>
          <xdr:txBody>
            <a:bodyPr spcFirstLastPara="1" wrap="square" lIns="91425" tIns="45700" rIns="91425" bIns="45700" anchor="ctr" anchorCtr="0">
              <a:noAutofit/>
            </a:bodyPr>
            <a:lstStyle/>
            <a:p>
              <a:pPr marL="0" lvl="0" indent="0" algn="ctr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1" i="0" u="none" strike="noStrike">
                  <a:solidFill>
                    <a:srgbClr val="000000"/>
                  </a:solidFill>
                  <a:latin typeface="Calibri"/>
                  <a:ea typeface="Calibri"/>
                  <a:cs typeface="Calibri"/>
                  <a:sym typeface="Calibri"/>
                </a:rPr>
                <a:t>ТОО </a:t>
              </a:r>
              <a:r>
                <a:rPr lang="ru-RU" sz="1400" b="1" i="0" u="none" strike="noStrike">
                  <a:solidFill>
                    <a:srgbClr val="000000"/>
                  </a:solidFill>
                  <a:latin typeface="Calibri"/>
                  <a:ea typeface="Calibri"/>
                  <a:cs typeface="Calibri"/>
                  <a:sym typeface="Calibri"/>
                </a:rPr>
                <a:t>Смарт</a:t>
              </a:r>
              <a:r>
                <a:rPr lang="ru-RU" sz="14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  <a:sym typeface="Calibri"/>
                </a:rPr>
                <a:t> Секьюрити Системс</a:t>
              </a:r>
              <a:endParaRPr sz="1400"/>
            </a:p>
            <a:p>
              <a:pPr marL="0" lvl="0" indent="0" algn="ctr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1" i="0" u="none" strike="noStrike">
                  <a:solidFill>
                    <a:srgbClr val="000000"/>
                  </a:solidFill>
                  <a:latin typeface="Calibri"/>
                  <a:ea typeface="Calibri"/>
                  <a:cs typeface="Calibri"/>
                  <a:sym typeface="Calibri"/>
                </a:rPr>
                <a:t>Республика Казахстан</a:t>
              </a:r>
              <a:endParaRPr sz="1400"/>
            </a:p>
            <a:p>
              <a:pPr marL="0" lvl="0" indent="0" algn="ctr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1" i="0" u="none" strike="noStrike">
                  <a:solidFill>
                    <a:srgbClr val="000000"/>
                  </a:solidFill>
                  <a:latin typeface="Calibri"/>
                  <a:ea typeface="Calibri"/>
                  <a:cs typeface="Calibri"/>
                  <a:sym typeface="Calibri"/>
                </a:rPr>
                <a:t>г. Алматы, </a:t>
              </a:r>
              <a:r>
                <a:rPr lang="ru-RU" sz="1400" b="1" i="0" u="none" strike="noStrike">
                  <a:solidFill>
                    <a:srgbClr val="000000"/>
                  </a:solidFill>
                  <a:latin typeface="Calibri"/>
                  <a:ea typeface="Calibri"/>
                  <a:cs typeface="Calibri"/>
                  <a:sym typeface="Calibri"/>
                </a:rPr>
                <a:t>бульвар</a:t>
              </a:r>
              <a:r>
                <a:rPr lang="en-US" sz="1400" b="1" i="0" u="none" strike="noStrike">
                  <a:solidFill>
                    <a:srgbClr val="000000"/>
                  </a:solidFill>
                  <a:latin typeface="Calibri"/>
                  <a:ea typeface="Calibri"/>
                  <a:cs typeface="Calibri"/>
                  <a:sym typeface="Calibri"/>
                </a:rPr>
                <a:t>  </a:t>
              </a:r>
              <a:r>
                <a:rPr lang="ru-RU" sz="1400" b="1" i="0" u="none" strike="noStrike">
                  <a:solidFill>
                    <a:srgbClr val="000000"/>
                  </a:solidFill>
                  <a:latin typeface="Calibri"/>
                  <a:ea typeface="Calibri"/>
                  <a:cs typeface="Calibri"/>
                  <a:sym typeface="Calibri"/>
                </a:rPr>
                <a:t>Бухар Жырау</a:t>
              </a:r>
              <a:r>
                <a:rPr lang="en-US" sz="1400" b="1" i="0" u="none" strike="noStrike">
                  <a:solidFill>
                    <a:srgbClr val="000000"/>
                  </a:solidFill>
                  <a:latin typeface="Calibri"/>
                  <a:ea typeface="Calibri"/>
                  <a:cs typeface="Calibri"/>
                  <a:sym typeface="Calibri"/>
                </a:rPr>
                <a:t>,</a:t>
              </a:r>
              <a:r>
                <a:rPr lang="ru-RU" sz="1400" b="1" i="0" u="none" strike="noStrike">
                  <a:solidFill>
                    <a:srgbClr val="000000"/>
                  </a:solidFill>
                  <a:latin typeface="Calibri"/>
                  <a:ea typeface="Calibri"/>
                  <a:cs typeface="Calibri"/>
                  <a:sym typeface="Calibri"/>
                </a:rPr>
                <a:t> 33</a:t>
              </a:r>
              <a:r>
                <a:rPr lang="en-US" sz="1400" b="1" i="0" u="none" strike="noStrike">
                  <a:solidFill>
                    <a:srgbClr val="000000"/>
                  </a:solidFill>
                  <a:latin typeface="Calibri"/>
                  <a:ea typeface="Calibri"/>
                  <a:cs typeface="Calibri"/>
                  <a:sym typeface="Calibri"/>
                </a:rPr>
                <a:t> </a:t>
              </a:r>
              <a:endParaRPr lang="ru-RU" sz="1400" b="1" i="0" u="none" strike="noStrike">
                <a:solidFill>
                  <a:srgbClr val="000000"/>
                </a:solidFill>
                <a:latin typeface="Calibri"/>
                <a:ea typeface="Calibri"/>
                <a:cs typeface="Calibri"/>
                <a:sym typeface="Calibri"/>
              </a:endParaRPr>
            </a:p>
            <a:p>
              <a:pPr marL="0" lvl="0" indent="0" algn="ctr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1" i="0" u="none" strike="noStrike">
                  <a:solidFill>
                    <a:srgbClr val="000000"/>
                  </a:solidFill>
                  <a:latin typeface="Calibri"/>
                  <a:ea typeface="Calibri"/>
                  <a:cs typeface="Calibri"/>
                  <a:sym typeface="Calibri"/>
                </a:rPr>
                <a:t>офис </a:t>
              </a:r>
              <a:r>
                <a:rPr lang="ru-RU" sz="1400" b="1" i="0" u="none" strike="noStrike">
                  <a:solidFill>
                    <a:srgbClr val="000000"/>
                  </a:solidFill>
                  <a:latin typeface="Calibri"/>
                  <a:ea typeface="Calibri"/>
                  <a:cs typeface="Calibri"/>
                  <a:sym typeface="Calibri"/>
                </a:rPr>
                <a:t>32</a:t>
              </a:r>
              <a:r>
                <a:rPr lang="en-US" sz="1400" b="1" i="0" u="none" strike="noStrike">
                  <a:solidFill>
                    <a:srgbClr val="000000"/>
                  </a:solidFill>
                  <a:latin typeface="Calibri"/>
                  <a:ea typeface="Calibri"/>
                  <a:cs typeface="Calibri"/>
                  <a:sym typeface="Calibri"/>
                </a:rPr>
                <a:t>                           </a:t>
              </a:r>
              <a:endParaRPr sz="1400"/>
            </a:p>
            <a:p>
              <a:pPr marL="0" lvl="0" indent="0" algn="ctr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1" i="0" u="none" strike="noStrike">
                  <a:solidFill>
                    <a:srgbClr val="000000"/>
                  </a:solidFill>
                  <a:latin typeface="Calibri"/>
                  <a:ea typeface="Calibri"/>
                  <a:cs typeface="Calibri"/>
                  <a:sym typeface="Calibri"/>
                </a:rPr>
                <a:t>Тел.:    +7 (727) 229</a:t>
              </a:r>
              <a:r>
                <a:rPr lang="en-US" sz="14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  <a:sym typeface="Calibri"/>
                </a:rPr>
                <a:t> 15 88</a:t>
              </a:r>
              <a:r>
                <a:rPr lang="en-US" sz="1400" b="1" i="0" u="none" strike="noStrike">
                  <a:solidFill>
                    <a:srgbClr val="000000"/>
                  </a:solidFill>
                  <a:latin typeface="Calibri"/>
                  <a:ea typeface="Calibri"/>
                  <a:cs typeface="Calibri"/>
                  <a:sym typeface="Calibri"/>
                </a:rPr>
                <a:t>         </a:t>
              </a:r>
              <a:endParaRPr sz="1400"/>
            </a:p>
            <a:p>
              <a:pPr marL="0" lvl="0" indent="0" algn="ctr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1" i="0" u="none" strike="noStrike">
                  <a:solidFill>
                    <a:srgbClr val="000000"/>
                  </a:solidFill>
                  <a:latin typeface="Calibri"/>
                  <a:ea typeface="Calibri"/>
                  <a:cs typeface="Calibri"/>
                  <a:sym typeface="Calibri"/>
                </a:rPr>
                <a:t>Моб.:  +7 (777) 511 46 53</a:t>
              </a:r>
              <a:endParaRPr sz="1400"/>
            </a:p>
            <a:p>
              <a:pPr marL="0" lvl="0" indent="0" algn="ctr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1" i="0" u="none" strike="noStrike">
                  <a:solidFill>
                    <a:srgbClr val="0066CC"/>
                  </a:solidFill>
                  <a:latin typeface="Calibri"/>
                  <a:ea typeface="Calibri"/>
                  <a:cs typeface="Calibri"/>
                  <a:sym typeface="Calibri"/>
                </a:rPr>
                <a:t>www.smartsecurity.kz </a:t>
              </a:r>
              <a:endParaRPr sz="1400"/>
            </a:p>
          </xdr:txBody>
        </xdr:sp>
      </xdr:grpSp>
    </xdr:grpSp>
    <xdr:clientData fLocksWithSheet="0"/>
  </xdr:oneCellAnchor>
  <xdr:oneCellAnchor>
    <xdr:from>
      <xdr:col>4</xdr:col>
      <xdr:colOff>200025</xdr:colOff>
      <xdr:row>11</xdr:row>
      <xdr:rowOff>28575</xdr:rowOff>
    </xdr:from>
    <xdr:ext cx="209550" cy="266700"/>
    <xdr:sp macro="" textlink="">
      <xdr:nvSpPr>
        <xdr:cNvPr id="9" name="Shape 3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5245988" y="3651413"/>
          <a:ext cx="200025" cy="2571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47625</xdr:colOff>
      <xdr:row>20</xdr:row>
      <xdr:rowOff>0</xdr:rowOff>
    </xdr:from>
    <xdr:ext cx="257175" cy="266700"/>
    <xdr:sp macro="" textlink="">
      <xdr:nvSpPr>
        <xdr:cNvPr id="10" name="Shape 4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5222175" y="3646650"/>
          <a:ext cx="24765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200025</xdr:colOff>
      <xdr:row>11</xdr:row>
      <xdr:rowOff>28575</xdr:rowOff>
    </xdr:from>
    <xdr:ext cx="209550" cy="266700"/>
    <xdr:sp macro="" textlink="">
      <xdr:nvSpPr>
        <xdr:cNvPr id="11" name="Shape 3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5245988" y="3651413"/>
          <a:ext cx="200025" cy="2571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twoCellAnchor editAs="oneCell">
    <xdr:from>
      <xdr:col>0</xdr:col>
      <xdr:colOff>480060</xdr:colOff>
      <xdr:row>0</xdr:row>
      <xdr:rowOff>0</xdr:rowOff>
    </xdr:from>
    <xdr:to>
      <xdr:col>2</xdr:col>
      <xdr:colOff>335280</xdr:colOff>
      <xdr:row>7</xdr:row>
      <xdr:rowOff>124483</xdr:rowOff>
    </xdr:to>
    <xdr:pic>
      <xdr:nvPicPr>
        <xdr:cNvPr id="15" name="Рисунок 14">
          <a:extLst>
            <a:ext uri="{FF2B5EF4-FFF2-40B4-BE49-F238E27FC236}">
              <a16:creationId xmlns:a16="http://schemas.microsoft.com/office/drawing/2014/main" id="{3B8A4ACB-DAE0-2426-8586-38938A8C7F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0060" y="0"/>
          <a:ext cx="1211580" cy="1244623"/>
        </a:xfrm>
        <a:prstGeom prst="rect">
          <a:avLst/>
        </a:prstGeom>
      </xdr:spPr>
    </xdr:pic>
    <xdr:clientData/>
  </xdr:twoCellAnchor>
  <xdr:twoCellAnchor editAs="oneCell">
    <xdr:from>
      <xdr:col>8</xdr:col>
      <xdr:colOff>586740</xdr:colOff>
      <xdr:row>7</xdr:row>
      <xdr:rowOff>160020</xdr:rowOff>
    </xdr:from>
    <xdr:to>
      <xdr:col>17</xdr:col>
      <xdr:colOff>177874</xdr:colOff>
      <xdr:row>17</xdr:row>
      <xdr:rowOff>259516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id="{D901FA20-F1D8-95F8-C208-A90DE7992F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600700" y="1280160"/>
          <a:ext cx="5077534" cy="3124636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137160</xdr:colOff>
      <xdr:row>2</xdr:row>
      <xdr:rowOff>60960</xdr:rowOff>
    </xdr:from>
    <xdr:to>
      <xdr:col>10</xdr:col>
      <xdr:colOff>83127</xdr:colOff>
      <xdr:row>2</xdr:row>
      <xdr:rowOff>745028</xdr:rowOff>
    </xdr:to>
    <xdr:pic>
      <xdr:nvPicPr>
        <xdr:cNvPr id="50" name="Имя " descr="Descr ">
          <a:extLst>
            <a:ext uri="{FF2B5EF4-FFF2-40B4-BE49-F238E27FC236}">
              <a16:creationId xmlns:a16="http://schemas.microsoft.com/office/drawing/2014/main" id="{40F2AE85-7B68-4BEA-9564-1A5D37D367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92540" y="18836640"/>
          <a:ext cx="3359727" cy="684068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4</xdr:col>
      <xdr:colOff>106680</xdr:colOff>
      <xdr:row>3</xdr:row>
      <xdr:rowOff>68580</xdr:rowOff>
    </xdr:from>
    <xdr:to>
      <xdr:col>10</xdr:col>
      <xdr:colOff>52647</xdr:colOff>
      <xdr:row>3</xdr:row>
      <xdr:rowOff>752648</xdr:rowOff>
    </xdr:to>
    <xdr:pic>
      <xdr:nvPicPr>
        <xdr:cNvPr id="51" name="Имя " descr="Descr ">
          <a:extLst>
            <a:ext uri="{FF2B5EF4-FFF2-40B4-BE49-F238E27FC236}">
              <a16:creationId xmlns:a16="http://schemas.microsoft.com/office/drawing/2014/main" id="{0AF9A951-C860-4AC1-B952-CF6DC9801D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862060" y="19674840"/>
          <a:ext cx="3359727" cy="684068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4</xdr:col>
      <xdr:colOff>106680</xdr:colOff>
      <xdr:row>7</xdr:row>
      <xdr:rowOff>68580</xdr:rowOff>
    </xdr:from>
    <xdr:to>
      <xdr:col>10</xdr:col>
      <xdr:colOff>52647</xdr:colOff>
      <xdr:row>7</xdr:row>
      <xdr:rowOff>752648</xdr:rowOff>
    </xdr:to>
    <xdr:pic>
      <xdr:nvPicPr>
        <xdr:cNvPr id="52" name="Имя " descr="Descr ">
          <a:extLst>
            <a:ext uri="{FF2B5EF4-FFF2-40B4-BE49-F238E27FC236}">
              <a16:creationId xmlns:a16="http://schemas.microsoft.com/office/drawing/2014/main" id="{DEFD507C-5827-4D94-88E2-D33179B9A3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862060" y="19057620"/>
          <a:ext cx="3359727" cy="684068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4</xdr:col>
      <xdr:colOff>205740</xdr:colOff>
      <xdr:row>6</xdr:row>
      <xdr:rowOff>60960</xdr:rowOff>
    </xdr:from>
    <xdr:to>
      <xdr:col>10</xdr:col>
      <xdr:colOff>151707</xdr:colOff>
      <xdr:row>6</xdr:row>
      <xdr:rowOff>745028</xdr:rowOff>
    </xdr:to>
    <xdr:pic>
      <xdr:nvPicPr>
        <xdr:cNvPr id="53" name="Имя " descr="Descr ">
          <a:extLst>
            <a:ext uri="{FF2B5EF4-FFF2-40B4-BE49-F238E27FC236}">
              <a16:creationId xmlns:a16="http://schemas.microsoft.com/office/drawing/2014/main" id="{A0B7C385-0FA3-4C64-A902-2800C59A6E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961120" y="18219420"/>
          <a:ext cx="3359727" cy="684068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2</xdr:row>
      <xdr:rowOff>0</xdr:rowOff>
    </xdr:from>
    <xdr:to>
      <xdr:col>9</xdr:col>
      <xdr:colOff>494607</xdr:colOff>
      <xdr:row>3</xdr:row>
      <xdr:rowOff>51609</xdr:rowOff>
    </xdr:to>
    <xdr:pic>
      <xdr:nvPicPr>
        <xdr:cNvPr id="6" name="Имя " descr="Descr ">
          <a:extLst>
            <a:ext uri="{FF2B5EF4-FFF2-40B4-BE49-F238E27FC236}">
              <a16:creationId xmlns:a16="http://schemas.microsoft.com/office/drawing/2014/main" id="{F53F4A74-879D-4E8F-B9C4-5C77C0E7AC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755380" y="9570720"/>
          <a:ext cx="3359727" cy="684069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4</xdr:col>
      <xdr:colOff>38100</xdr:colOff>
      <xdr:row>16</xdr:row>
      <xdr:rowOff>53340</xdr:rowOff>
    </xdr:from>
    <xdr:to>
      <xdr:col>9</xdr:col>
      <xdr:colOff>532707</xdr:colOff>
      <xdr:row>16</xdr:row>
      <xdr:rowOff>737408</xdr:rowOff>
    </xdr:to>
    <xdr:pic>
      <xdr:nvPicPr>
        <xdr:cNvPr id="7" name="Имя " descr="Descr ">
          <a:extLst>
            <a:ext uri="{FF2B5EF4-FFF2-40B4-BE49-F238E27FC236}">
              <a16:creationId xmlns:a16="http://schemas.microsoft.com/office/drawing/2014/main" id="{5F9678CB-EA86-456A-BF04-112CF9350A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793480" y="17830800"/>
          <a:ext cx="3359727" cy="684068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4</xdr:col>
      <xdr:colOff>114300</xdr:colOff>
      <xdr:row>17</xdr:row>
      <xdr:rowOff>53340</xdr:rowOff>
    </xdr:from>
    <xdr:to>
      <xdr:col>10</xdr:col>
      <xdr:colOff>60267</xdr:colOff>
      <xdr:row>17</xdr:row>
      <xdr:rowOff>737409</xdr:rowOff>
    </xdr:to>
    <xdr:pic>
      <xdr:nvPicPr>
        <xdr:cNvPr id="8" name="Имя " descr="Descr ">
          <a:extLst>
            <a:ext uri="{FF2B5EF4-FFF2-40B4-BE49-F238E27FC236}">
              <a16:creationId xmlns:a16="http://schemas.microsoft.com/office/drawing/2014/main" id="{0A483529-6710-41AE-8C88-88C527448C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869680" y="18630900"/>
          <a:ext cx="3359727" cy="684069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4</xdr:col>
      <xdr:colOff>60960</xdr:colOff>
      <xdr:row>10</xdr:row>
      <xdr:rowOff>53340</xdr:rowOff>
    </xdr:from>
    <xdr:to>
      <xdr:col>10</xdr:col>
      <xdr:colOff>6927</xdr:colOff>
      <xdr:row>11</xdr:row>
      <xdr:rowOff>13509</xdr:rowOff>
    </xdr:to>
    <xdr:pic>
      <xdr:nvPicPr>
        <xdr:cNvPr id="9" name="Имя " descr="Descr ">
          <a:extLst>
            <a:ext uri="{FF2B5EF4-FFF2-40B4-BE49-F238E27FC236}">
              <a16:creationId xmlns:a16="http://schemas.microsoft.com/office/drawing/2014/main" id="{FDDB71D6-729C-4FA8-9AB3-0C2BD710BC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16340" y="15194280"/>
          <a:ext cx="3359727" cy="684069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4</xdr:col>
      <xdr:colOff>60960</xdr:colOff>
      <xdr:row>20</xdr:row>
      <xdr:rowOff>30480</xdr:rowOff>
    </xdr:from>
    <xdr:to>
      <xdr:col>10</xdr:col>
      <xdr:colOff>6927</xdr:colOff>
      <xdr:row>20</xdr:row>
      <xdr:rowOff>714548</xdr:rowOff>
    </xdr:to>
    <xdr:pic>
      <xdr:nvPicPr>
        <xdr:cNvPr id="10" name="Имя " descr="Descr ">
          <a:extLst>
            <a:ext uri="{FF2B5EF4-FFF2-40B4-BE49-F238E27FC236}">
              <a16:creationId xmlns:a16="http://schemas.microsoft.com/office/drawing/2014/main" id="{DEF18845-F2C0-4999-B6A7-15936B4A55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816340" y="7741920"/>
          <a:ext cx="3359727" cy="684068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4</xdr:col>
      <xdr:colOff>76200</xdr:colOff>
      <xdr:row>24</xdr:row>
      <xdr:rowOff>220980</xdr:rowOff>
    </xdr:from>
    <xdr:to>
      <xdr:col>10</xdr:col>
      <xdr:colOff>22167</xdr:colOff>
      <xdr:row>25</xdr:row>
      <xdr:rowOff>676448</xdr:rowOff>
    </xdr:to>
    <xdr:pic>
      <xdr:nvPicPr>
        <xdr:cNvPr id="11" name="Имя " descr="Descr ">
          <a:extLst>
            <a:ext uri="{FF2B5EF4-FFF2-40B4-BE49-F238E27FC236}">
              <a16:creationId xmlns:a16="http://schemas.microsoft.com/office/drawing/2014/main" id="{003EE4AE-7F37-46E4-97D1-D913364413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831580" y="20650200"/>
          <a:ext cx="3359727" cy="684068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4</xdr:col>
      <xdr:colOff>83820</xdr:colOff>
      <xdr:row>26</xdr:row>
      <xdr:rowOff>1</xdr:rowOff>
    </xdr:from>
    <xdr:to>
      <xdr:col>10</xdr:col>
      <xdr:colOff>29787</xdr:colOff>
      <xdr:row>26</xdr:row>
      <xdr:rowOff>708661</xdr:rowOff>
    </xdr:to>
    <xdr:pic>
      <xdr:nvPicPr>
        <xdr:cNvPr id="12" name="Имя " descr="Descr ">
          <a:extLst>
            <a:ext uri="{FF2B5EF4-FFF2-40B4-BE49-F238E27FC236}">
              <a16:creationId xmlns:a16="http://schemas.microsoft.com/office/drawing/2014/main" id="{F2E2FEEF-2139-4549-B88D-E58FF0CE35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839200" y="21381721"/>
          <a:ext cx="3359727" cy="708660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4</xdr:col>
      <xdr:colOff>60960</xdr:colOff>
      <xdr:row>27</xdr:row>
      <xdr:rowOff>30480</xdr:rowOff>
    </xdr:from>
    <xdr:to>
      <xdr:col>10</xdr:col>
      <xdr:colOff>6927</xdr:colOff>
      <xdr:row>28</xdr:row>
      <xdr:rowOff>21129</xdr:rowOff>
    </xdr:to>
    <xdr:pic>
      <xdr:nvPicPr>
        <xdr:cNvPr id="13" name="Имя " descr="Descr ">
          <a:extLst>
            <a:ext uri="{FF2B5EF4-FFF2-40B4-BE49-F238E27FC236}">
              <a16:creationId xmlns:a16="http://schemas.microsoft.com/office/drawing/2014/main" id="{12FDE434-7C58-4367-A5C5-A49E9D672D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16340" y="22136100"/>
          <a:ext cx="3359727" cy="684069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4</xdr:col>
      <xdr:colOff>53340</xdr:colOff>
      <xdr:row>27</xdr:row>
      <xdr:rowOff>685800</xdr:rowOff>
    </xdr:from>
    <xdr:to>
      <xdr:col>9</xdr:col>
      <xdr:colOff>547947</xdr:colOff>
      <xdr:row>28</xdr:row>
      <xdr:rowOff>676449</xdr:rowOff>
    </xdr:to>
    <xdr:pic>
      <xdr:nvPicPr>
        <xdr:cNvPr id="14" name="Имя " descr="Descr ">
          <a:extLst>
            <a:ext uri="{FF2B5EF4-FFF2-40B4-BE49-F238E27FC236}">
              <a16:creationId xmlns:a16="http://schemas.microsoft.com/office/drawing/2014/main" id="{6C56C6B2-DFA5-434F-B8D1-81522C4934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08720" y="22791420"/>
          <a:ext cx="3359727" cy="684069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4</xdr:col>
      <xdr:colOff>99060</xdr:colOff>
      <xdr:row>29</xdr:row>
      <xdr:rowOff>7620</xdr:rowOff>
    </xdr:from>
    <xdr:to>
      <xdr:col>10</xdr:col>
      <xdr:colOff>45027</xdr:colOff>
      <xdr:row>29</xdr:row>
      <xdr:rowOff>691689</xdr:rowOff>
    </xdr:to>
    <xdr:pic>
      <xdr:nvPicPr>
        <xdr:cNvPr id="15" name="Имя " descr="Descr ">
          <a:extLst>
            <a:ext uri="{FF2B5EF4-FFF2-40B4-BE49-F238E27FC236}">
              <a16:creationId xmlns:a16="http://schemas.microsoft.com/office/drawing/2014/main" id="{089C0C0C-0BEE-4D4F-8422-499E61B64B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54440" y="23484840"/>
          <a:ext cx="3359727" cy="684069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4</xdr:col>
      <xdr:colOff>76200</xdr:colOff>
      <xdr:row>35</xdr:row>
      <xdr:rowOff>220980</xdr:rowOff>
    </xdr:from>
    <xdr:to>
      <xdr:col>10</xdr:col>
      <xdr:colOff>22167</xdr:colOff>
      <xdr:row>36</xdr:row>
      <xdr:rowOff>676448</xdr:rowOff>
    </xdr:to>
    <xdr:pic>
      <xdr:nvPicPr>
        <xdr:cNvPr id="16" name="Имя " descr="Descr ">
          <a:extLst>
            <a:ext uri="{FF2B5EF4-FFF2-40B4-BE49-F238E27FC236}">
              <a16:creationId xmlns:a16="http://schemas.microsoft.com/office/drawing/2014/main" id="{105293A5-2851-40E7-BA7B-5A51D77640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831580" y="20032980"/>
          <a:ext cx="3359727" cy="684068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4</xdr:col>
      <xdr:colOff>83820</xdr:colOff>
      <xdr:row>37</xdr:row>
      <xdr:rowOff>1</xdr:rowOff>
    </xdr:from>
    <xdr:to>
      <xdr:col>10</xdr:col>
      <xdr:colOff>29787</xdr:colOff>
      <xdr:row>37</xdr:row>
      <xdr:rowOff>708661</xdr:rowOff>
    </xdr:to>
    <xdr:pic>
      <xdr:nvPicPr>
        <xdr:cNvPr id="17" name="Имя " descr="Descr ">
          <a:extLst>
            <a:ext uri="{FF2B5EF4-FFF2-40B4-BE49-F238E27FC236}">
              <a16:creationId xmlns:a16="http://schemas.microsoft.com/office/drawing/2014/main" id="{B5BE9BE8-FD27-4449-9B76-C976FC8A82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839200" y="20764501"/>
          <a:ext cx="3359727" cy="708660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4</xdr:col>
      <xdr:colOff>60960</xdr:colOff>
      <xdr:row>38</xdr:row>
      <xdr:rowOff>30480</xdr:rowOff>
    </xdr:from>
    <xdr:to>
      <xdr:col>10</xdr:col>
      <xdr:colOff>6927</xdr:colOff>
      <xdr:row>39</xdr:row>
      <xdr:rowOff>0</xdr:rowOff>
    </xdr:to>
    <xdr:pic>
      <xdr:nvPicPr>
        <xdr:cNvPr id="18" name="Имя " descr="Descr ">
          <a:extLst>
            <a:ext uri="{FF2B5EF4-FFF2-40B4-BE49-F238E27FC236}">
              <a16:creationId xmlns:a16="http://schemas.microsoft.com/office/drawing/2014/main" id="{F1A18326-D1EF-45A3-957A-DE37F2BFC7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16340" y="21518880"/>
          <a:ext cx="3359727" cy="662940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4</xdr:col>
      <xdr:colOff>53340</xdr:colOff>
      <xdr:row>38</xdr:row>
      <xdr:rowOff>685800</xdr:rowOff>
    </xdr:from>
    <xdr:to>
      <xdr:col>9</xdr:col>
      <xdr:colOff>547947</xdr:colOff>
      <xdr:row>39</xdr:row>
      <xdr:rowOff>0</xdr:rowOff>
    </xdr:to>
    <xdr:pic>
      <xdr:nvPicPr>
        <xdr:cNvPr id="19" name="Имя " descr="Descr ">
          <a:extLst>
            <a:ext uri="{FF2B5EF4-FFF2-40B4-BE49-F238E27FC236}">
              <a16:creationId xmlns:a16="http://schemas.microsoft.com/office/drawing/2014/main" id="{9F9E4C38-8B53-49C4-9E1C-17ECFD9011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08720" y="22174200"/>
          <a:ext cx="3359727" cy="7620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68580</xdr:colOff>
      <xdr:row>2</xdr:row>
      <xdr:rowOff>45720</xdr:rowOff>
    </xdr:from>
    <xdr:to>
      <xdr:col>10</xdr:col>
      <xdr:colOff>14547</xdr:colOff>
      <xdr:row>2</xdr:row>
      <xdr:rowOff>729789</xdr:rowOff>
    </xdr:to>
    <xdr:pic>
      <xdr:nvPicPr>
        <xdr:cNvPr id="16" name="Имя " descr="Descr ">
          <a:extLst>
            <a:ext uri="{FF2B5EF4-FFF2-40B4-BE49-F238E27FC236}">
              <a16:creationId xmlns:a16="http://schemas.microsoft.com/office/drawing/2014/main" id="{CD86D74C-E79A-4AB8-AF27-66EBE24ABD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3960" y="11948160"/>
          <a:ext cx="3359727" cy="668829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4</xdr:col>
      <xdr:colOff>83820</xdr:colOff>
      <xdr:row>3</xdr:row>
      <xdr:rowOff>30480</xdr:rowOff>
    </xdr:from>
    <xdr:to>
      <xdr:col>10</xdr:col>
      <xdr:colOff>29787</xdr:colOff>
      <xdr:row>4</xdr:row>
      <xdr:rowOff>28748</xdr:rowOff>
    </xdr:to>
    <xdr:pic>
      <xdr:nvPicPr>
        <xdr:cNvPr id="17" name="Имя " descr="Descr ">
          <a:extLst>
            <a:ext uri="{FF2B5EF4-FFF2-40B4-BE49-F238E27FC236}">
              <a16:creationId xmlns:a16="http://schemas.microsoft.com/office/drawing/2014/main" id="{1A13E8E4-74FF-4BA4-87F8-1BA0844DEC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839200" y="12649200"/>
          <a:ext cx="3359727" cy="684068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4</xdr:col>
      <xdr:colOff>68580</xdr:colOff>
      <xdr:row>8</xdr:row>
      <xdr:rowOff>45720</xdr:rowOff>
    </xdr:from>
    <xdr:to>
      <xdr:col>10</xdr:col>
      <xdr:colOff>14547</xdr:colOff>
      <xdr:row>8</xdr:row>
      <xdr:rowOff>729789</xdr:rowOff>
    </xdr:to>
    <xdr:pic>
      <xdr:nvPicPr>
        <xdr:cNvPr id="18" name="Имя " descr="Descr ">
          <a:extLst>
            <a:ext uri="{FF2B5EF4-FFF2-40B4-BE49-F238E27FC236}">
              <a16:creationId xmlns:a16="http://schemas.microsoft.com/office/drawing/2014/main" id="{98A41011-7F9F-4B1D-AECC-7709A9CE9E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3960" y="12542520"/>
          <a:ext cx="3359727" cy="668829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4</xdr:col>
      <xdr:colOff>83820</xdr:colOff>
      <xdr:row>9</xdr:row>
      <xdr:rowOff>30480</xdr:rowOff>
    </xdr:from>
    <xdr:to>
      <xdr:col>10</xdr:col>
      <xdr:colOff>29787</xdr:colOff>
      <xdr:row>10</xdr:row>
      <xdr:rowOff>28748</xdr:rowOff>
    </xdr:to>
    <xdr:pic>
      <xdr:nvPicPr>
        <xdr:cNvPr id="19" name="Имя " descr="Descr ">
          <a:extLst>
            <a:ext uri="{FF2B5EF4-FFF2-40B4-BE49-F238E27FC236}">
              <a16:creationId xmlns:a16="http://schemas.microsoft.com/office/drawing/2014/main" id="{DFE51692-FC03-4578-8399-B945B0B499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839200" y="13243560"/>
          <a:ext cx="3359727" cy="684068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4</xdr:col>
      <xdr:colOff>68580</xdr:colOff>
      <xdr:row>14</xdr:row>
      <xdr:rowOff>45720</xdr:rowOff>
    </xdr:from>
    <xdr:to>
      <xdr:col>10</xdr:col>
      <xdr:colOff>14547</xdr:colOff>
      <xdr:row>14</xdr:row>
      <xdr:rowOff>729789</xdr:rowOff>
    </xdr:to>
    <xdr:pic>
      <xdr:nvPicPr>
        <xdr:cNvPr id="20" name="Имя " descr="Descr ">
          <a:extLst>
            <a:ext uri="{FF2B5EF4-FFF2-40B4-BE49-F238E27FC236}">
              <a16:creationId xmlns:a16="http://schemas.microsoft.com/office/drawing/2014/main" id="{C937DF3B-05D7-4E1B-8D13-AC5FC9B78E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3960" y="13342620"/>
          <a:ext cx="3359727" cy="668829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4</xdr:col>
      <xdr:colOff>83820</xdr:colOff>
      <xdr:row>15</xdr:row>
      <xdr:rowOff>30480</xdr:rowOff>
    </xdr:from>
    <xdr:to>
      <xdr:col>10</xdr:col>
      <xdr:colOff>29787</xdr:colOff>
      <xdr:row>16</xdr:row>
      <xdr:rowOff>28748</xdr:rowOff>
    </xdr:to>
    <xdr:pic>
      <xdr:nvPicPr>
        <xdr:cNvPr id="21" name="Имя " descr="Descr ">
          <a:extLst>
            <a:ext uri="{FF2B5EF4-FFF2-40B4-BE49-F238E27FC236}">
              <a16:creationId xmlns:a16="http://schemas.microsoft.com/office/drawing/2014/main" id="{7C1CE272-87C7-4825-8940-62F462B2F7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839200" y="14043660"/>
          <a:ext cx="3359727" cy="684068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4</xdr:col>
      <xdr:colOff>68580</xdr:colOff>
      <xdr:row>20</xdr:row>
      <xdr:rowOff>45720</xdr:rowOff>
    </xdr:from>
    <xdr:to>
      <xdr:col>10</xdr:col>
      <xdr:colOff>14547</xdr:colOff>
      <xdr:row>20</xdr:row>
      <xdr:rowOff>729789</xdr:rowOff>
    </xdr:to>
    <xdr:pic>
      <xdr:nvPicPr>
        <xdr:cNvPr id="22" name="Имя " descr="Descr ">
          <a:extLst>
            <a:ext uri="{FF2B5EF4-FFF2-40B4-BE49-F238E27FC236}">
              <a16:creationId xmlns:a16="http://schemas.microsoft.com/office/drawing/2014/main" id="{CE8885E2-F896-4416-BD45-10F88BC958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3960" y="19651980"/>
          <a:ext cx="3359727" cy="668829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4</xdr:col>
      <xdr:colOff>83820</xdr:colOff>
      <xdr:row>21</xdr:row>
      <xdr:rowOff>30480</xdr:rowOff>
    </xdr:from>
    <xdr:to>
      <xdr:col>10</xdr:col>
      <xdr:colOff>29787</xdr:colOff>
      <xdr:row>22</xdr:row>
      <xdr:rowOff>28748</xdr:rowOff>
    </xdr:to>
    <xdr:pic>
      <xdr:nvPicPr>
        <xdr:cNvPr id="23" name="Имя " descr="Descr ">
          <a:extLst>
            <a:ext uri="{FF2B5EF4-FFF2-40B4-BE49-F238E27FC236}">
              <a16:creationId xmlns:a16="http://schemas.microsoft.com/office/drawing/2014/main" id="{21094E92-9F7C-4FFD-9313-FA9AFD07A1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839200" y="20353020"/>
          <a:ext cx="3359727" cy="684068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4</xdr:col>
      <xdr:colOff>68580</xdr:colOff>
      <xdr:row>26</xdr:row>
      <xdr:rowOff>45720</xdr:rowOff>
    </xdr:from>
    <xdr:to>
      <xdr:col>10</xdr:col>
      <xdr:colOff>14547</xdr:colOff>
      <xdr:row>26</xdr:row>
      <xdr:rowOff>729789</xdr:rowOff>
    </xdr:to>
    <xdr:pic>
      <xdr:nvPicPr>
        <xdr:cNvPr id="24" name="Имя " descr="Descr ">
          <a:extLst>
            <a:ext uri="{FF2B5EF4-FFF2-40B4-BE49-F238E27FC236}">
              <a16:creationId xmlns:a16="http://schemas.microsoft.com/office/drawing/2014/main" id="{11F50AF1-3975-4CFF-9C8F-C599F30867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3960" y="9509760"/>
          <a:ext cx="3359727" cy="668829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4</xdr:col>
      <xdr:colOff>68580</xdr:colOff>
      <xdr:row>29</xdr:row>
      <xdr:rowOff>45720</xdr:rowOff>
    </xdr:from>
    <xdr:to>
      <xdr:col>10</xdr:col>
      <xdr:colOff>14547</xdr:colOff>
      <xdr:row>29</xdr:row>
      <xdr:rowOff>729789</xdr:rowOff>
    </xdr:to>
    <xdr:pic>
      <xdr:nvPicPr>
        <xdr:cNvPr id="26" name="Имя " descr="Descr ">
          <a:extLst>
            <a:ext uri="{FF2B5EF4-FFF2-40B4-BE49-F238E27FC236}">
              <a16:creationId xmlns:a16="http://schemas.microsoft.com/office/drawing/2014/main" id="{26F75855-A27C-4204-9EC5-4938F7B9F8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3960" y="26441400"/>
          <a:ext cx="3359727" cy="668829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4</xdr:col>
      <xdr:colOff>83820</xdr:colOff>
      <xdr:row>30</xdr:row>
      <xdr:rowOff>30480</xdr:rowOff>
    </xdr:from>
    <xdr:to>
      <xdr:col>10</xdr:col>
      <xdr:colOff>29787</xdr:colOff>
      <xdr:row>31</xdr:row>
      <xdr:rowOff>28748</xdr:rowOff>
    </xdr:to>
    <xdr:pic>
      <xdr:nvPicPr>
        <xdr:cNvPr id="27" name="Имя " descr="Descr ">
          <a:extLst>
            <a:ext uri="{FF2B5EF4-FFF2-40B4-BE49-F238E27FC236}">
              <a16:creationId xmlns:a16="http://schemas.microsoft.com/office/drawing/2014/main" id="{F58C4835-B386-4E61-9072-5CA5CA6451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839200" y="27142440"/>
          <a:ext cx="3359727" cy="684068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4</xdr:col>
      <xdr:colOff>83820</xdr:colOff>
      <xdr:row>36</xdr:row>
      <xdr:rowOff>30480</xdr:rowOff>
    </xdr:from>
    <xdr:to>
      <xdr:col>10</xdr:col>
      <xdr:colOff>29787</xdr:colOff>
      <xdr:row>37</xdr:row>
      <xdr:rowOff>28748</xdr:rowOff>
    </xdr:to>
    <xdr:pic>
      <xdr:nvPicPr>
        <xdr:cNvPr id="28" name="Имя " descr="Descr ">
          <a:extLst>
            <a:ext uri="{FF2B5EF4-FFF2-40B4-BE49-F238E27FC236}">
              <a16:creationId xmlns:a16="http://schemas.microsoft.com/office/drawing/2014/main" id="{F4624A96-BFB7-4E06-B025-667B057FB5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839200" y="22418040"/>
          <a:ext cx="3359727" cy="684068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60960</xdr:colOff>
      <xdr:row>3</xdr:row>
      <xdr:rowOff>30480</xdr:rowOff>
    </xdr:from>
    <xdr:to>
      <xdr:col>10</xdr:col>
      <xdr:colOff>6927</xdr:colOff>
      <xdr:row>3</xdr:row>
      <xdr:rowOff>714548</xdr:rowOff>
    </xdr:to>
    <xdr:pic>
      <xdr:nvPicPr>
        <xdr:cNvPr id="15" name="Имя " descr="Descr ">
          <a:extLst>
            <a:ext uri="{FF2B5EF4-FFF2-40B4-BE49-F238E27FC236}">
              <a16:creationId xmlns:a16="http://schemas.microsoft.com/office/drawing/2014/main" id="{7E604A13-5C68-42DD-BCE3-EAA04882EB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08720" y="1074420"/>
          <a:ext cx="3359727" cy="684068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4</xdr:col>
      <xdr:colOff>83820</xdr:colOff>
      <xdr:row>2</xdr:row>
      <xdr:rowOff>7620</xdr:rowOff>
    </xdr:from>
    <xdr:to>
      <xdr:col>10</xdr:col>
      <xdr:colOff>29787</xdr:colOff>
      <xdr:row>2</xdr:row>
      <xdr:rowOff>691688</xdr:rowOff>
    </xdr:to>
    <xdr:pic>
      <xdr:nvPicPr>
        <xdr:cNvPr id="16" name="Имя " descr="Descr ">
          <a:extLst>
            <a:ext uri="{FF2B5EF4-FFF2-40B4-BE49-F238E27FC236}">
              <a16:creationId xmlns:a16="http://schemas.microsoft.com/office/drawing/2014/main" id="{374123C4-8880-49FD-B1C6-5CAC7CACC1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39200" y="14584680"/>
          <a:ext cx="3359727" cy="684068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106680</xdr:colOff>
      <xdr:row>3</xdr:row>
      <xdr:rowOff>22860</xdr:rowOff>
    </xdr:from>
    <xdr:to>
      <xdr:col>11</xdr:col>
      <xdr:colOff>52647</xdr:colOff>
      <xdr:row>3</xdr:row>
      <xdr:rowOff>706929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D9A21B99-24B1-48B6-8043-AD30FD3162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04860" y="640080"/>
          <a:ext cx="3359727" cy="684069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5</xdr:col>
      <xdr:colOff>76200</xdr:colOff>
      <xdr:row>4</xdr:row>
      <xdr:rowOff>30480</xdr:rowOff>
    </xdr:from>
    <xdr:to>
      <xdr:col>11</xdr:col>
      <xdr:colOff>22167</xdr:colOff>
      <xdr:row>4</xdr:row>
      <xdr:rowOff>714548</xdr:rowOff>
    </xdr:to>
    <xdr:pic>
      <xdr:nvPicPr>
        <xdr:cNvPr id="4" name="Имя " descr="Descr ">
          <a:extLst>
            <a:ext uri="{FF2B5EF4-FFF2-40B4-BE49-F238E27FC236}">
              <a16:creationId xmlns:a16="http://schemas.microsoft.com/office/drawing/2014/main" id="{6C7DCA74-462E-4356-B92F-CEE19898B5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374380" y="1356360"/>
          <a:ext cx="3359727" cy="684068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5</xdr:col>
      <xdr:colOff>548640</xdr:colOff>
      <xdr:row>15</xdr:row>
      <xdr:rowOff>137894</xdr:rowOff>
    </xdr:from>
    <xdr:to>
      <xdr:col>11</xdr:col>
      <xdr:colOff>68580</xdr:colOff>
      <xdr:row>16</xdr:row>
      <xdr:rowOff>0</xdr:rowOff>
    </xdr:to>
    <xdr:pic>
      <xdr:nvPicPr>
        <xdr:cNvPr id="9" name="Имя " descr="Descr ">
          <a:extLst>
            <a:ext uri="{FF2B5EF4-FFF2-40B4-BE49-F238E27FC236}">
              <a16:creationId xmlns:a16="http://schemas.microsoft.com/office/drawing/2014/main" id="{AE325F49-15DA-40D2-9626-E487B5D7EC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767060" y="6066254"/>
          <a:ext cx="2933700" cy="563146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5</xdr:col>
      <xdr:colOff>441960</xdr:colOff>
      <xdr:row>18</xdr:row>
      <xdr:rowOff>45720</xdr:rowOff>
    </xdr:from>
    <xdr:to>
      <xdr:col>11</xdr:col>
      <xdr:colOff>624147</xdr:colOff>
      <xdr:row>18</xdr:row>
      <xdr:rowOff>729789</xdr:rowOff>
    </xdr:to>
    <xdr:pic>
      <xdr:nvPicPr>
        <xdr:cNvPr id="11" name="Имя " descr="Descr ">
          <a:extLst>
            <a:ext uri="{FF2B5EF4-FFF2-40B4-BE49-F238E27FC236}">
              <a16:creationId xmlns:a16="http://schemas.microsoft.com/office/drawing/2014/main" id="{6C5F70F8-BD3F-4CE6-9A19-14409544E7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660380" y="7239000"/>
          <a:ext cx="3595947" cy="684069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5</xdr:col>
      <xdr:colOff>434340</xdr:colOff>
      <xdr:row>19</xdr:row>
      <xdr:rowOff>7620</xdr:rowOff>
    </xdr:from>
    <xdr:to>
      <xdr:col>11</xdr:col>
      <xdr:colOff>616527</xdr:colOff>
      <xdr:row>19</xdr:row>
      <xdr:rowOff>691689</xdr:rowOff>
    </xdr:to>
    <xdr:pic>
      <xdr:nvPicPr>
        <xdr:cNvPr id="12" name="Имя " descr="Descr ">
          <a:extLst>
            <a:ext uri="{FF2B5EF4-FFF2-40B4-BE49-F238E27FC236}">
              <a16:creationId xmlns:a16="http://schemas.microsoft.com/office/drawing/2014/main" id="{860644B0-3530-4CF4-9E0B-8CF8094ACB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652760" y="7947660"/>
          <a:ext cx="3595947" cy="684069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5</xdr:col>
      <xdr:colOff>411480</xdr:colOff>
      <xdr:row>20</xdr:row>
      <xdr:rowOff>30480</xdr:rowOff>
    </xdr:from>
    <xdr:to>
      <xdr:col>11</xdr:col>
      <xdr:colOff>593667</xdr:colOff>
      <xdr:row>20</xdr:row>
      <xdr:rowOff>714548</xdr:rowOff>
    </xdr:to>
    <xdr:pic>
      <xdr:nvPicPr>
        <xdr:cNvPr id="14" name="Имя " descr="Descr ">
          <a:extLst>
            <a:ext uri="{FF2B5EF4-FFF2-40B4-BE49-F238E27FC236}">
              <a16:creationId xmlns:a16="http://schemas.microsoft.com/office/drawing/2014/main" id="{9CE072A6-15FB-4538-95F6-06DE172E55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0629900" y="8686800"/>
          <a:ext cx="3595947" cy="684068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5</xdr:col>
      <xdr:colOff>403860</xdr:colOff>
      <xdr:row>21</xdr:row>
      <xdr:rowOff>22860</xdr:rowOff>
    </xdr:from>
    <xdr:to>
      <xdr:col>11</xdr:col>
      <xdr:colOff>586047</xdr:colOff>
      <xdr:row>21</xdr:row>
      <xdr:rowOff>706928</xdr:rowOff>
    </xdr:to>
    <xdr:pic>
      <xdr:nvPicPr>
        <xdr:cNvPr id="15" name="Имя " descr="Descr ">
          <a:extLst>
            <a:ext uri="{FF2B5EF4-FFF2-40B4-BE49-F238E27FC236}">
              <a16:creationId xmlns:a16="http://schemas.microsoft.com/office/drawing/2014/main" id="{F3448830-383C-40FB-A4A3-53D7A8C4EA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0622280" y="9502140"/>
          <a:ext cx="3595947" cy="684068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5</xdr:col>
      <xdr:colOff>426720</xdr:colOff>
      <xdr:row>22</xdr:row>
      <xdr:rowOff>53340</xdr:rowOff>
    </xdr:from>
    <xdr:to>
      <xdr:col>11</xdr:col>
      <xdr:colOff>608907</xdr:colOff>
      <xdr:row>22</xdr:row>
      <xdr:rowOff>737409</xdr:rowOff>
    </xdr:to>
    <xdr:pic>
      <xdr:nvPicPr>
        <xdr:cNvPr id="16" name="Имя " descr="Descr ">
          <a:extLst>
            <a:ext uri="{FF2B5EF4-FFF2-40B4-BE49-F238E27FC236}">
              <a16:creationId xmlns:a16="http://schemas.microsoft.com/office/drawing/2014/main" id="{486E2133-F2FD-424F-BF57-AE042323BB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645140" y="10325100"/>
          <a:ext cx="3595947" cy="684069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5</xdr:col>
      <xdr:colOff>449580</xdr:colOff>
      <xdr:row>23</xdr:row>
      <xdr:rowOff>7620</xdr:rowOff>
    </xdr:from>
    <xdr:to>
      <xdr:col>11</xdr:col>
      <xdr:colOff>631767</xdr:colOff>
      <xdr:row>23</xdr:row>
      <xdr:rowOff>653588</xdr:rowOff>
    </xdr:to>
    <xdr:pic>
      <xdr:nvPicPr>
        <xdr:cNvPr id="17" name="Имя " descr="Descr ">
          <a:extLst>
            <a:ext uri="{FF2B5EF4-FFF2-40B4-BE49-F238E27FC236}">
              <a16:creationId xmlns:a16="http://schemas.microsoft.com/office/drawing/2014/main" id="{028E1505-6971-4CDC-808A-E451AC72C0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668000" y="11094720"/>
          <a:ext cx="3595947" cy="645968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5</xdr:col>
      <xdr:colOff>464820</xdr:colOff>
      <xdr:row>25</xdr:row>
      <xdr:rowOff>15240</xdr:rowOff>
    </xdr:from>
    <xdr:to>
      <xdr:col>11</xdr:col>
      <xdr:colOff>410787</xdr:colOff>
      <xdr:row>25</xdr:row>
      <xdr:rowOff>684069</xdr:rowOff>
    </xdr:to>
    <xdr:pic>
      <xdr:nvPicPr>
        <xdr:cNvPr id="19" name="Имя " descr="Descr ">
          <a:extLst>
            <a:ext uri="{FF2B5EF4-FFF2-40B4-BE49-F238E27FC236}">
              <a16:creationId xmlns:a16="http://schemas.microsoft.com/office/drawing/2014/main" id="{1F896519-C747-4B97-8FB1-E7C7F51C95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0683240" y="12039600"/>
          <a:ext cx="3359727" cy="668829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5</xdr:col>
      <xdr:colOff>502920</xdr:colOff>
      <xdr:row>26</xdr:row>
      <xdr:rowOff>60960</xdr:rowOff>
    </xdr:from>
    <xdr:to>
      <xdr:col>11</xdr:col>
      <xdr:colOff>448887</xdr:colOff>
      <xdr:row>27</xdr:row>
      <xdr:rowOff>59228</xdr:rowOff>
    </xdr:to>
    <xdr:pic>
      <xdr:nvPicPr>
        <xdr:cNvPr id="20" name="Имя " descr="Descr ">
          <a:extLst>
            <a:ext uri="{FF2B5EF4-FFF2-40B4-BE49-F238E27FC236}">
              <a16:creationId xmlns:a16="http://schemas.microsoft.com/office/drawing/2014/main" id="{A95E4F45-5563-48B5-86E5-6474F4F968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0721340" y="12801600"/>
          <a:ext cx="3359727" cy="684068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5</xdr:col>
      <xdr:colOff>60960</xdr:colOff>
      <xdr:row>33</xdr:row>
      <xdr:rowOff>30480</xdr:rowOff>
    </xdr:from>
    <xdr:to>
      <xdr:col>11</xdr:col>
      <xdr:colOff>6927</xdr:colOff>
      <xdr:row>33</xdr:row>
      <xdr:rowOff>714548</xdr:rowOff>
    </xdr:to>
    <xdr:pic>
      <xdr:nvPicPr>
        <xdr:cNvPr id="22" name="Имя " descr="Descr ">
          <a:extLst>
            <a:ext uri="{FF2B5EF4-FFF2-40B4-BE49-F238E27FC236}">
              <a16:creationId xmlns:a16="http://schemas.microsoft.com/office/drawing/2014/main" id="{7A5B6F9A-2383-443E-8A98-AB075BCF9C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8816340" y="14767560"/>
          <a:ext cx="3359727" cy="684068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5</xdr:col>
      <xdr:colOff>83820</xdr:colOff>
      <xdr:row>32</xdr:row>
      <xdr:rowOff>7620</xdr:rowOff>
    </xdr:from>
    <xdr:to>
      <xdr:col>11</xdr:col>
      <xdr:colOff>29787</xdr:colOff>
      <xdr:row>32</xdr:row>
      <xdr:rowOff>691688</xdr:rowOff>
    </xdr:to>
    <xdr:pic>
      <xdr:nvPicPr>
        <xdr:cNvPr id="23" name="Имя " descr="Descr ">
          <a:extLst>
            <a:ext uri="{FF2B5EF4-FFF2-40B4-BE49-F238E27FC236}">
              <a16:creationId xmlns:a16="http://schemas.microsoft.com/office/drawing/2014/main" id="{17F611A0-2B96-452E-A729-02C679CA6B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8839200" y="14584680"/>
          <a:ext cx="3359727" cy="684068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5</xdr:col>
      <xdr:colOff>480060</xdr:colOff>
      <xdr:row>13</xdr:row>
      <xdr:rowOff>15240</xdr:rowOff>
    </xdr:from>
    <xdr:to>
      <xdr:col>11</xdr:col>
      <xdr:colOff>38100</xdr:colOff>
      <xdr:row>14</xdr:row>
      <xdr:rowOff>70879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B306D761-88E0-4597-8693-D075586B70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0698480" y="4541520"/>
          <a:ext cx="2971800" cy="718579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5</xdr:col>
      <xdr:colOff>472440</xdr:colOff>
      <xdr:row>11</xdr:row>
      <xdr:rowOff>163024</xdr:rowOff>
    </xdr:from>
    <xdr:to>
      <xdr:col>10</xdr:col>
      <xdr:colOff>487681</xdr:colOff>
      <xdr:row>13</xdr:row>
      <xdr:rowOff>40772</xdr:rowOff>
    </xdr:to>
    <xdr:pic>
      <xdr:nvPicPr>
        <xdr:cNvPr id="5" name="Имя " descr="Descr ">
          <a:extLst>
            <a:ext uri="{FF2B5EF4-FFF2-40B4-BE49-F238E27FC236}">
              <a16:creationId xmlns:a16="http://schemas.microsoft.com/office/drawing/2014/main" id="{1C6E521D-843C-470F-8839-D980A8C266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0690860" y="3912064"/>
          <a:ext cx="2880361" cy="654988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5</xdr:col>
      <xdr:colOff>487680</xdr:colOff>
      <xdr:row>14</xdr:row>
      <xdr:rowOff>7620</xdr:rowOff>
    </xdr:from>
    <xdr:to>
      <xdr:col>10</xdr:col>
      <xdr:colOff>470054</xdr:colOff>
      <xdr:row>15</xdr:row>
      <xdr:rowOff>25079</xdr:rowOff>
    </xdr:to>
    <xdr:pic>
      <xdr:nvPicPr>
        <xdr:cNvPr id="6" name="Имя " descr="Descr ">
          <a:extLst>
            <a:ext uri="{FF2B5EF4-FFF2-40B4-BE49-F238E27FC236}">
              <a16:creationId xmlns:a16="http://schemas.microsoft.com/office/drawing/2014/main" id="{1D8210E5-F5B1-EA43-D29C-C2D48100D3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0706100" y="5196840"/>
          <a:ext cx="2847494" cy="756599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83820</xdr:colOff>
      <xdr:row>13</xdr:row>
      <xdr:rowOff>441960</xdr:rowOff>
    </xdr:from>
    <xdr:to>
      <xdr:col>11</xdr:col>
      <xdr:colOff>29787</xdr:colOff>
      <xdr:row>14</xdr:row>
      <xdr:rowOff>0</xdr:rowOff>
    </xdr:to>
    <xdr:pic>
      <xdr:nvPicPr>
        <xdr:cNvPr id="6" name="Имя " descr="Descr ">
          <a:extLst>
            <a:ext uri="{FF2B5EF4-FFF2-40B4-BE49-F238E27FC236}">
              <a16:creationId xmlns:a16="http://schemas.microsoft.com/office/drawing/2014/main" id="{12E28989-4E62-48F8-9695-04B8209EA7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39200" y="6019800"/>
          <a:ext cx="3359727" cy="508808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5</xdr:col>
      <xdr:colOff>68580</xdr:colOff>
      <xdr:row>24</xdr:row>
      <xdr:rowOff>45720</xdr:rowOff>
    </xdr:from>
    <xdr:to>
      <xdr:col>11</xdr:col>
      <xdr:colOff>14547</xdr:colOff>
      <xdr:row>24</xdr:row>
      <xdr:rowOff>729789</xdr:rowOff>
    </xdr:to>
    <xdr:pic>
      <xdr:nvPicPr>
        <xdr:cNvPr id="13" name="Имя " descr="Descr ">
          <a:extLst>
            <a:ext uri="{FF2B5EF4-FFF2-40B4-BE49-F238E27FC236}">
              <a16:creationId xmlns:a16="http://schemas.microsoft.com/office/drawing/2014/main" id="{1A5DB5B4-00DC-4C21-85A6-865F7CCDE1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823960" y="11948160"/>
          <a:ext cx="3359727" cy="668829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5</xdr:col>
      <xdr:colOff>83820</xdr:colOff>
      <xdr:row>25</xdr:row>
      <xdr:rowOff>0</xdr:rowOff>
    </xdr:from>
    <xdr:to>
      <xdr:col>11</xdr:col>
      <xdr:colOff>29787</xdr:colOff>
      <xdr:row>25</xdr:row>
      <xdr:rowOff>28748</xdr:rowOff>
    </xdr:to>
    <xdr:pic>
      <xdr:nvPicPr>
        <xdr:cNvPr id="14" name="Имя " descr="Descr ">
          <a:extLst>
            <a:ext uri="{FF2B5EF4-FFF2-40B4-BE49-F238E27FC236}">
              <a16:creationId xmlns:a16="http://schemas.microsoft.com/office/drawing/2014/main" id="{78BEB43A-57EF-470A-A83E-414DBF4C28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839200" y="12649200"/>
          <a:ext cx="3359727" cy="684068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5</xdr:col>
      <xdr:colOff>60960</xdr:colOff>
      <xdr:row>31</xdr:row>
      <xdr:rowOff>30480</xdr:rowOff>
    </xdr:from>
    <xdr:to>
      <xdr:col>11</xdr:col>
      <xdr:colOff>6927</xdr:colOff>
      <xdr:row>31</xdr:row>
      <xdr:rowOff>714548</xdr:rowOff>
    </xdr:to>
    <xdr:pic>
      <xdr:nvPicPr>
        <xdr:cNvPr id="15" name="Имя " descr="Descr ">
          <a:extLst>
            <a:ext uri="{FF2B5EF4-FFF2-40B4-BE49-F238E27FC236}">
              <a16:creationId xmlns:a16="http://schemas.microsoft.com/office/drawing/2014/main" id="{A11C6CA9-5597-42B2-B7EE-CD6CC520A3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816340" y="15331440"/>
          <a:ext cx="3359727" cy="684068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5</xdr:col>
      <xdr:colOff>83820</xdr:colOff>
      <xdr:row>30</xdr:row>
      <xdr:rowOff>7620</xdr:rowOff>
    </xdr:from>
    <xdr:to>
      <xdr:col>11</xdr:col>
      <xdr:colOff>29787</xdr:colOff>
      <xdr:row>30</xdr:row>
      <xdr:rowOff>691688</xdr:rowOff>
    </xdr:to>
    <xdr:pic>
      <xdr:nvPicPr>
        <xdr:cNvPr id="16" name="Имя " descr="Descr ">
          <a:extLst>
            <a:ext uri="{FF2B5EF4-FFF2-40B4-BE49-F238E27FC236}">
              <a16:creationId xmlns:a16="http://schemas.microsoft.com/office/drawing/2014/main" id="{FF0BFAA6-998A-4F9A-9270-9EE9C99BC5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839200" y="14584680"/>
          <a:ext cx="3359727" cy="684068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5</xdr:col>
      <xdr:colOff>0</xdr:colOff>
      <xdr:row>3</xdr:row>
      <xdr:rowOff>0</xdr:rowOff>
    </xdr:from>
    <xdr:to>
      <xdr:col>10</xdr:col>
      <xdr:colOff>494607</xdr:colOff>
      <xdr:row>3</xdr:row>
      <xdr:rowOff>684068</xdr:rowOff>
    </xdr:to>
    <xdr:pic>
      <xdr:nvPicPr>
        <xdr:cNvPr id="18" name="Имя " descr="Descr ">
          <a:extLst>
            <a:ext uri="{FF2B5EF4-FFF2-40B4-BE49-F238E27FC236}">
              <a16:creationId xmlns:a16="http://schemas.microsoft.com/office/drawing/2014/main" id="{A1DDFE54-9537-48F9-AC0C-EACD239558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755380" y="617220"/>
          <a:ext cx="3359727" cy="684068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 editAs="oneCell">
    <xdr:from>
      <xdr:col>6</xdr:col>
      <xdr:colOff>373381</xdr:colOff>
      <xdr:row>6</xdr:row>
      <xdr:rowOff>563880</xdr:rowOff>
    </xdr:from>
    <xdr:to>
      <xdr:col>8</xdr:col>
      <xdr:colOff>525781</xdr:colOff>
      <xdr:row>8</xdr:row>
      <xdr:rowOff>64249</xdr:rowOff>
    </xdr:to>
    <xdr:pic>
      <xdr:nvPicPr>
        <xdr:cNvPr id="20" name="Рисунок 19">
          <a:extLst>
            <a:ext uri="{FF2B5EF4-FFF2-40B4-BE49-F238E27FC236}">
              <a16:creationId xmlns:a16="http://schemas.microsoft.com/office/drawing/2014/main" id="{4AFF8264-C4C9-D76A-54CC-19E7771B91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38361" y="3314700"/>
          <a:ext cx="1310640" cy="1153909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11</xdr:row>
      <xdr:rowOff>76200</xdr:rowOff>
    </xdr:from>
    <xdr:to>
      <xdr:col>11</xdr:col>
      <xdr:colOff>22167</xdr:colOff>
      <xdr:row>11</xdr:row>
      <xdr:rowOff>760268</xdr:rowOff>
    </xdr:to>
    <xdr:pic>
      <xdr:nvPicPr>
        <xdr:cNvPr id="21" name="Имя " descr="Descr ">
          <a:extLst>
            <a:ext uri="{FF2B5EF4-FFF2-40B4-BE49-F238E27FC236}">
              <a16:creationId xmlns:a16="http://schemas.microsoft.com/office/drawing/2014/main" id="{CB840522-E75C-4D93-A81D-E521735BB5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8831580" y="5593080"/>
          <a:ext cx="3359727" cy="684068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5</xdr:col>
      <xdr:colOff>45720</xdr:colOff>
      <xdr:row>12</xdr:row>
      <xdr:rowOff>60960</xdr:rowOff>
    </xdr:from>
    <xdr:to>
      <xdr:col>10</xdr:col>
      <xdr:colOff>540327</xdr:colOff>
      <xdr:row>12</xdr:row>
      <xdr:rowOff>745028</xdr:rowOff>
    </xdr:to>
    <xdr:pic>
      <xdr:nvPicPr>
        <xdr:cNvPr id="22" name="Имя " descr="Descr ">
          <a:extLst>
            <a:ext uri="{FF2B5EF4-FFF2-40B4-BE49-F238E27FC236}">
              <a16:creationId xmlns:a16="http://schemas.microsoft.com/office/drawing/2014/main" id="{633043BE-A333-4AEA-8E72-19EEB4CCF4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01100" y="6385560"/>
          <a:ext cx="3359727" cy="684068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5</xdr:col>
      <xdr:colOff>1</xdr:colOff>
      <xdr:row>14</xdr:row>
      <xdr:rowOff>22860</xdr:rowOff>
    </xdr:from>
    <xdr:to>
      <xdr:col>10</xdr:col>
      <xdr:colOff>381001</xdr:colOff>
      <xdr:row>15</xdr:row>
      <xdr:rowOff>51337</xdr:rowOff>
    </xdr:to>
    <xdr:pic>
      <xdr:nvPicPr>
        <xdr:cNvPr id="23" name="Имя " descr="Descr ">
          <a:extLst>
            <a:ext uri="{FF2B5EF4-FFF2-40B4-BE49-F238E27FC236}">
              <a16:creationId xmlns:a16="http://schemas.microsoft.com/office/drawing/2014/main" id="{DE15646C-8AFF-4900-B73C-F4D1529FE1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8747761" y="7627620"/>
          <a:ext cx="3246120" cy="660937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5</xdr:col>
      <xdr:colOff>0</xdr:colOff>
      <xdr:row>17</xdr:row>
      <xdr:rowOff>0</xdr:rowOff>
    </xdr:from>
    <xdr:to>
      <xdr:col>10</xdr:col>
      <xdr:colOff>494607</xdr:colOff>
      <xdr:row>18</xdr:row>
      <xdr:rowOff>51609</xdr:rowOff>
    </xdr:to>
    <xdr:pic>
      <xdr:nvPicPr>
        <xdr:cNvPr id="24" name="Имя " descr="Descr ">
          <a:extLst>
            <a:ext uri="{FF2B5EF4-FFF2-40B4-BE49-F238E27FC236}">
              <a16:creationId xmlns:a16="http://schemas.microsoft.com/office/drawing/2014/main" id="{B0CC4B08-5B33-4480-B4C7-361AE8A753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8755380" y="9570720"/>
          <a:ext cx="3359727" cy="684069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91440</xdr:colOff>
      <xdr:row>10</xdr:row>
      <xdr:rowOff>76200</xdr:rowOff>
    </xdr:from>
    <xdr:to>
      <xdr:col>11</xdr:col>
      <xdr:colOff>37407</xdr:colOff>
      <xdr:row>10</xdr:row>
      <xdr:rowOff>760268</xdr:rowOff>
    </xdr:to>
    <xdr:pic>
      <xdr:nvPicPr>
        <xdr:cNvPr id="5" name="Имя " descr="Descr ">
          <a:extLst>
            <a:ext uri="{FF2B5EF4-FFF2-40B4-BE49-F238E27FC236}">
              <a16:creationId xmlns:a16="http://schemas.microsoft.com/office/drawing/2014/main" id="{8EB4C5CA-39AA-47AA-A032-29796D560B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46820" y="4030980"/>
          <a:ext cx="3359727" cy="684068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5</xdr:col>
      <xdr:colOff>83820</xdr:colOff>
      <xdr:row>13</xdr:row>
      <xdr:rowOff>53340</xdr:rowOff>
    </xdr:from>
    <xdr:to>
      <xdr:col>11</xdr:col>
      <xdr:colOff>29787</xdr:colOff>
      <xdr:row>13</xdr:row>
      <xdr:rowOff>737409</xdr:rowOff>
    </xdr:to>
    <xdr:pic>
      <xdr:nvPicPr>
        <xdr:cNvPr id="7" name="Имя " descr="Descr ">
          <a:extLst>
            <a:ext uri="{FF2B5EF4-FFF2-40B4-BE49-F238E27FC236}">
              <a16:creationId xmlns:a16="http://schemas.microsoft.com/office/drawing/2014/main" id="{D5E52B57-9830-4317-936D-3EDBDA3F37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839200" y="7124700"/>
          <a:ext cx="3359727" cy="684069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5</xdr:col>
      <xdr:colOff>121920</xdr:colOff>
      <xdr:row>13</xdr:row>
      <xdr:rowOff>731520</xdr:rowOff>
    </xdr:from>
    <xdr:to>
      <xdr:col>11</xdr:col>
      <xdr:colOff>67887</xdr:colOff>
      <xdr:row>14</xdr:row>
      <xdr:rowOff>668829</xdr:rowOff>
    </xdr:to>
    <xdr:pic>
      <xdr:nvPicPr>
        <xdr:cNvPr id="8" name="Имя " descr="Descr ">
          <a:extLst>
            <a:ext uri="{FF2B5EF4-FFF2-40B4-BE49-F238E27FC236}">
              <a16:creationId xmlns:a16="http://schemas.microsoft.com/office/drawing/2014/main" id="{D6170C7C-CE56-41EC-B580-1A2756EB84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877300" y="7802880"/>
          <a:ext cx="3359727" cy="684069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5</xdr:col>
      <xdr:colOff>106680</xdr:colOff>
      <xdr:row>15</xdr:row>
      <xdr:rowOff>99060</xdr:rowOff>
    </xdr:from>
    <xdr:to>
      <xdr:col>11</xdr:col>
      <xdr:colOff>52647</xdr:colOff>
      <xdr:row>15</xdr:row>
      <xdr:rowOff>783128</xdr:rowOff>
    </xdr:to>
    <xdr:pic>
      <xdr:nvPicPr>
        <xdr:cNvPr id="9" name="Имя " descr="Descr ">
          <a:extLst>
            <a:ext uri="{FF2B5EF4-FFF2-40B4-BE49-F238E27FC236}">
              <a16:creationId xmlns:a16="http://schemas.microsoft.com/office/drawing/2014/main" id="{F103A1D4-8EA3-4454-B243-3A10F4BC46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862060" y="8633460"/>
          <a:ext cx="3359727" cy="684068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5</xdr:col>
      <xdr:colOff>106680</xdr:colOff>
      <xdr:row>19</xdr:row>
      <xdr:rowOff>45720</xdr:rowOff>
    </xdr:from>
    <xdr:to>
      <xdr:col>11</xdr:col>
      <xdr:colOff>52647</xdr:colOff>
      <xdr:row>19</xdr:row>
      <xdr:rowOff>729788</xdr:rowOff>
    </xdr:to>
    <xdr:pic>
      <xdr:nvPicPr>
        <xdr:cNvPr id="10" name="Имя " descr="Descr ">
          <a:extLst>
            <a:ext uri="{FF2B5EF4-FFF2-40B4-BE49-F238E27FC236}">
              <a16:creationId xmlns:a16="http://schemas.microsoft.com/office/drawing/2014/main" id="{ED1FF718-8F19-47FC-B3BE-68F88782F0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862060" y="9403080"/>
          <a:ext cx="3359727" cy="684068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5</xdr:col>
      <xdr:colOff>91440</xdr:colOff>
      <xdr:row>20</xdr:row>
      <xdr:rowOff>45720</xdr:rowOff>
    </xdr:from>
    <xdr:to>
      <xdr:col>11</xdr:col>
      <xdr:colOff>37407</xdr:colOff>
      <xdr:row>20</xdr:row>
      <xdr:rowOff>729789</xdr:rowOff>
    </xdr:to>
    <xdr:pic>
      <xdr:nvPicPr>
        <xdr:cNvPr id="11" name="Имя " descr="Descr ">
          <a:extLst>
            <a:ext uri="{FF2B5EF4-FFF2-40B4-BE49-F238E27FC236}">
              <a16:creationId xmlns:a16="http://schemas.microsoft.com/office/drawing/2014/main" id="{E7AA47E4-9E2F-4A28-A083-E218470893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846820" y="10195560"/>
          <a:ext cx="3359727" cy="684069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5</xdr:col>
      <xdr:colOff>99060</xdr:colOff>
      <xdr:row>21</xdr:row>
      <xdr:rowOff>30480</xdr:rowOff>
    </xdr:from>
    <xdr:to>
      <xdr:col>11</xdr:col>
      <xdr:colOff>45027</xdr:colOff>
      <xdr:row>21</xdr:row>
      <xdr:rowOff>676448</xdr:rowOff>
    </xdr:to>
    <xdr:pic>
      <xdr:nvPicPr>
        <xdr:cNvPr id="12" name="Имя " descr="Descr ">
          <a:extLst>
            <a:ext uri="{FF2B5EF4-FFF2-40B4-BE49-F238E27FC236}">
              <a16:creationId xmlns:a16="http://schemas.microsoft.com/office/drawing/2014/main" id="{EB61AB74-8607-4F64-B042-A9BCAEEA57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854440" y="10995660"/>
          <a:ext cx="3359727" cy="645968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5</xdr:col>
      <xdr:colOff>68580</xdr:colOff>
      <xdr:row>23</xdr:row>
      <xdr:rowOff>45720</xdr:rowOff>
    </xdr:from>
    <xdr:to>
      <xdr:col>11</xdr:col>
      <xdr:colOff>14547</xdr:colOff>
      <xdr:row>23</xdr:row>
      <xdr:rowOff>729789</xdr:rowOff>
    </xdr:to>
    <xdr:pic>
      <xdr:nvPicPr>
        <xdr:cNvPr id="13" name="Имя " descr="Descr ">
          <a:extLst>
            <a:ext uri="{FF2B5EF4-FFF2-40B4-BE49-F238E27FC236}">
              <a16:creationId xmlns:a16="http://schemas.microsoft.com/office/drawing/2014/main" id="{85ADB35C-7151-4A93-8E09-B7E951A6DC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8823960" y="11948160"/>
          <a:ext cx="3359727" cy="668829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5</xdr:col>
      <xdr:colOff>83820</xdr:colOff>
      <xdr:row>24</xdr:row>
      <xdr:rowOff>30480</xdr:rowOff>
    </xdr:from>
    <xdr:to>
      <xdr:col>11</xdr:col>
      <xdr:colOff>29787</xdr:colOff>
      <xdr:row>25</xdr:row>
      <xdr:rowOff>28748</xdr:rowOff>
    </xdr:to>
    <xdr:pic>
      <xdr:nvPicPr>
        <xdr:cNvPr id="14" name="Имя " descr="Descr ">
          <a:extLst>
            <a:ext uri="{FF2B5EF4-FFF2-40B4-BE49-F238E27FC236}">
              <a16:creationId xmlns:a16="http://schemas.microsoft.com/office/drawing/2014/main" id="{CF55B4D0-3CEE-4F2C-BC3E-CEE89DFE38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8839200" y="12649200"/>
          <a:ext cx="3359727" cy="684068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5</xdr:col>
      <xdr:colOff>60960</xdr:colOff>
      <xdr:row>31</xdr:row>
      <xdr:rowOff>30480</xdr:rowOff>
    </xdr:from>
    <xdr:to>
      <xdr:col>11</xdr:col>
      <xdr:colOff>6927</xdr:colOff>
      <xdr:row>31</xdr:row>
      <xdr:rowOff>714548</xdr:rowOff>
    </xdr:to>
    <xdr:pic>
      <xdr:nvPicPr>
        <xdr:cNvPr id="15" name="Имя " descr="Descr ">
          <a:extLst>
            <a:ext uri="{FF2B5EF4-FFF2-40B4-BE49-F238E27FC236}">
              <a16:creationId xmlns:a16="http://schemas.microsoft.com/office/drawing/2014/main" id="{0358075D-75B4-4156-BAD1-8596212B8F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8816340" y="15331440"/>
          <a:ext cx="3359727" cy="684068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5</xdr:col>
      <xdr:colOff>83820</xdr:colOff>
      <xdr:row>30</xdr:row>
      <xdr:rowOff>7620</xdr:rowOff>
    </xdr:from>
    <xdr:to>
      <xdr:col>11</xdr:col>
      <xdr:colOff>29787</xdr:colOff>
      <xdr:row>30</xdr:row>
      <xdr:rowOff>691688</xdr:rowOff>
    </xdr:to>
    <xdr:pic>
      <xdr:nvPicPr>
        <xdr:cNvPr id="16" name="Имя " descr="Descr ">
          <a:extLst>
            <a:ext uri="{FF2B5EF4-FFF2-40B4-BE49-F238E27FC236}">
              <a16:creationId xmlns:a16="http://schemas.microsoft.com/office/drawing/2014/main" id="{79102ACF-8749-4D60-89B0-B553AD32E7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8839200" y="14584680"/>
          <a:ext cx="3359727" cy="684068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5</xdr:col>
      <xdr:colOff>114301</xdr:colOff>
      <xdr:row>3</xdr:row>
      <xdr:rowOff>60960</xdr:rowOff>
    </xdr:from>
    <xdr:to>
      <xdr:col>10</xdr:col>
      <xdr:colOff>434341</xdr:colOff>
      <xdr:row>4</xdr:row>
      <xdr:rowOff>23665</xdr:rowOff>
    </xdr:to>
    <xdr:pic>
      <xdr:nvPicPr>
        <xdr:cNvPr id="17" name="Имя " descr="Descr ">
          <a:extLst>
            <a:ext uri="{FF2B5EF4-FFF2-40B4-BE49-F238E27FC236}">
              <a16:creationId xmlns:a16="http://schemas.microsoft.com/office/drawing/2014/main" id="{FEFBCA60-9A9B-49A5-B802-4CD6F90B59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8869681" y="678180"/>
          <a:ext cx="3185160" cy="671365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5</xdr:col>
      <xdr:colOff>91441</xdr:colOff>
      <xdr:row>4</xdr:row>
      <xdr:rowOff>68581</xdr:rowOff>
    </xdr:from>
    <xdr:to>
      <xdr:col>10</xdr:col>
      <xdr:colOff>472441</xdr:colOff>
      <xdr:row>4</xdr:row>
      <xdr:rowOff>729519</xdr:rowOff>
    </xdr:to>
    <xdr:pic>
      <xdr:nvPicPr>
        <xdr:cNvPr id="18" name="Имя " descr="Descr ">
          <a:extLst>
            <a:ext uri="{FF2B5EF4-FFF2-40B4-BE49-F238E27FC236}">
              <a16:creationId xmlns:a16="http://schemas.microsoft.com/office/drawing/2014/main" id="{7C137ED5-9DB7-4818-A803-73BD6CC3BD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8846821" y="1394461"/>
          <a:ext cx="3246120" cy="660938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5</xdr:col>
      <xdr:colOff>53340</xdr:colOff>
      <xdr:row>7</xdr:row>
      <xdr:rowOff>53340</xdr:rowOff>
    </xdr:from>
    <xdr:to>
      <xdr:col>10</xdr:col>
      <xdr:colOff>547947</xdr:colOff>
      <xdr:row>7</xdr:row>
      <xdr:rowOff>737408</xdr:rowOff>
    </xdr:to>
    <xdr:pic>
      <xdr:nvPicPr>
        <xdr:cNvPr id="19" name="Имя " descr="Descr ">
          <a:extLst>
            <a:ext uri="{FF2B5EF4-FFF2-40B4-BE49-F238E27FC236}">
              <a16:creationId xmlns:a16="http://schemas.microsoft.com/office/drawing/2014/main" id="{E566A07F-D0A8-4D00-B0A7-5D3F42F132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8808720" y="2392680"/>
          <a:ext cx="3359727" cy="684068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5</xdr:col>
      <xdr:colOff>30480</xdr:colOff>
      <xdr:row>12</xdr:row>
      <xdr:rowOff>76200</xdr:rowOff>
    </xdr:from>
    <xdr:to>
      <xdr:col>10</xdr:col>
      <xdr:colOff>525087</xdr:colOff>
      <xdr:row>12</xdr:row>
      <xdr:rowOff>760268</xdr:rowOff>
    </xdr:to>
    <xdr:pic>
      <xdr:nvPicPr>
        <xdr:cNvPr id="20" name="Имя " descr="Descr ">
          <a:extLst>
            <a:ext uri="{FF2B5EF4-FFF2-40B4-BE49-F238E27FC236}">
              <a16:creationId xmlns:a16="http://schemas.microsoft.com/office/drawing/2014/main" id="{A6E9F7C3-82DE-4F7E-834E-5FBD593367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778240" y="5334000"/>
          <a:ext cx="3359727" cy="684068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5</xdr:col>
      <xdr:colOff>106680</xdr:colOff>
      <xdr:row>16</xdr:row>
      <xdr:rowOff>53340</xdr:rowOff>
    </xdr:from>
    <xdr:to>
      <xdr:col>11</xdr:col>
      <xdr:colOff>52647</xdr:colOff>
      <xdr:row>16</xdr:row>
      <xdr:rowOff>737408</xdr:rowOff>
    </xdr:to>
    <xdr:pic>
      <xdr:nvPicPr>
        <xdr:cNvPr id="21" name="Имя " descr="Descr ">
          <a:extLst>
            <a:ext uri="{FF2B5EF4-FFF2-40B4-BE49-F238E27FC236}">
              <a16:creationId xmlns:a16="http://schemas.microsoft.com/office/drawing/2014/main" id="{F85F43D1-0C05-4AE3-BF99-BB3DDA25D7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62060" y="8336280"/>
          <a:ext cx="3359727" cy="684068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5</xdr:col>
      <xdr:colOff>83820</xdr:colOff>
      <xdr:row>17</xdr:row>
      <xdr:rowOff>68580</xdr:rowOff>
    </xdr:from>
    <xdr:to>
      <xdr:col>11</xdr:col>
      <xdr:colOff>29787</xdr:colOff>
      <xdr:row>17</xdr:row>
      <xdr:rowOff>752648</xdr:rowOff>
    </xdr:to>
    <xdr:pic>
      <xdr:nvPicPr>
        <xdr:cNvPr id="22" name="Имя " descr="Descr ">
          <a:extLst>
            <a:ext uri="{FF2B5EF4-FFF2-40B4-BE49-F238E27FC236}">
              <a16:creationId xmlns:a16="http://schemas.microsoft.com/office/drawing/2014/main" id="{EB6FB6BB-DCF2-42CF-80EA-4E35E534C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39200" y="9174480"/>
          <a:ext cx="3359727" cy="684068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5</xdr:col>
      <xdr:colOff>106680</xdr:colOff>
      <xdr:row>18</xdr:row>
      <xdr:rowOff>91440</xdr:rowOff>
    </xdr:from>
    <xdr:to>
      <xdr:col>11</xdr:col>
      <xdr:colOff>52647</xdr:colOff>
      <xdr:row>18</xdr:row>
      <xdr:rowOff>775508</xdr:rowOff>
    </xdr:to>
    <xdr:pic>
      <xdr:nvPicPr>
        <xdr:cNvPr id="23" name="Имя " descr="Descr ">
          <a:extLst>
            <a:ext uri="{FF2B5EF4-FFF2-40B4-BE49-F238E27FC236}">
              <a16:creationId xmlns:a16="http://schemas.microsoft.com/office/drawing/2014/main" id="{0DD6D29C-461C-4406-A0F0-ECA4C5C5C8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8862060" y="10020300"/>
          <a:ext cx="3359727" cy="684068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5</xdr:col>
      <xdr:colOff>152400</xdr:colOff>
      <xdr:row>5</xdr:row>
      <xdr:rowOff>0</xdr:rowOff>
    </xdr:from>
    <xdr:to>
      <xdr:col>10</xdr:col>
      <xdr:colOff>533400</xdr:colOff>
      <xdr:row>5</xdr:row>
      <xdr:rowOff>660938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ACB63BC9-934C-4600-A106-16B5D1203F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8900160" y="2057400"/>
          <a:ext cx="3246120" cy="660938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68580</xdr:colOff>
      <xdr:row>46</xdr:row>
      <xdr:rowOff>45720</xdr:rowOff>
    </xdr:from>
    <xdr:to>
      <xdr:col>11</xdr:col>
      <xdr:colOff>14547</xdr:colOff>
      <xdr:row>46</xdr:row>
      <xdr:rowOff>729789</xdr:rowOff>
    </xdr:to>
    <xdr:pic>
      <xdr:nvPicPr>
        <xdr:cNvPr id="9" name="Имя " descr="Descr ">
          <a:extLst>
            <a:ext uri="{FF2B5EF4-FFF2-40B4-BE49-F238E27FC236}">
              <a16:creationId xmlns:a16="http://schemas.microsoft.com/office/drawing/2014/main" id="{A55C07D6-9FA5-44F6-B553-39E0032198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3960" y="13342620"/>
          <a:ext cx="3359727" cy="668829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5</xdr:col>
      <xdr:colOff>83820</xdr:colOff>
      <xdr:row>47</xdr:row>
      <xdr:rowOff>30480</xdr:rowOff>
    </xdr:from>
    <xdr:to>
      <xdr:col>11</xdr:col>
      <xdr:colOff>29787</xdr:colOff>
      <xdr:row>48</xdr:row>
      <xdr:rowOff>28748</xdr:rowOff>
    </xdr:to>
    <xdr:pic>
      <xdr:nvPicPr>
        <xdr:cNvPr id="10" name="Имя " descr="Descr ">
          <a:extLst>
            <a:ext uri="{FF2B5EF4-FFF2-40B4-BE49-F238E27FC236}">
              <a16:creationId xmlns:a16="http://schemas.microsoft.com/office/drawing/2014/main" id="{6412D0C6-0DB0-49DC-AE89-F1075490DF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839200" y="14043660"/>
          <a:ext cx="3359727" cy="684068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5</xdr:col>
      <xdr:colOff>60960</xdr:colOff>
      <xdr:row>54</xdr:row>
      <xdr:rowOff>30480</xdr:rowOff>
    </xdr:from>
    <xdr:to>
      <xdr:col>11</xdr:col>
      <xdr:colOff>6927</xdr:colOff>
      <xdr:row>54</xdr:row>
      <xdr:rowOff>714548</xdr:rowOff>
    </xdr:to>
    <xdr:pic>
      <xdr:nvPicPr>
        <xdr:cNvPr id="11" name="Имя " descr="Descr ">
          <a:extLst>
            <a:ext uri="{FF2B5EF4-FFF2-40B4-BE49-F238E27FC236}">
              <a16:creationId xmlns:a16="http://schemas.microsoft.com/office/drawing/2014/main" id="{D581DD28-0028-4507-9680-689D10F706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816340" y="16725900"/>
          <a:ext cx="3359727" cy="684068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5</xdr:col>
      <xdr:colOff>83820</xdr:colOff>
      <xdr:row>53</xdr:row>
      <xdr:rowOff>7620</xdr:rowOff>
    </xdr:from>
    <xdr:to>
      <xdr:col>11</xdr:col>
      <xdr:colOff>29787</xdr:colOff>
      <xdr:row>53</xdr:row>
      <xdr:rowOff>691688</xdr:rowOff>
    </xdr:to>
    <xdr:pic>
      <xdr:nvPicPr>
        <xdr:cNvPr id="12" name="Имя " descr="Descr ">
          <a:extLst>
            <a:ext uri="{FF2B5EF4-FFF2-40B4-BE49-F238E27FC236}">
              <a16:creationId xmlns:a16="http://schemas.microsoft.com/office/drawing/2014/main" id="{289444DC-F47C-4768-8753-BB8A277472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839200" y="15979140"/>
          <a:ext cx="3359727" cy="684068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5</xdr:col>
      <xdr:colOff>335281</xdr:colOff>
      <xdr:row>3</xdr:row>
      <xdr:rowOff>76201</xdr:rowOff>
    </xdr:from>
    <xdr:to>
      <xdr:col>10</xdr:col>
      <xdr:colOff>259081</xdr:colOff>
      <xdr:row>3</xdr:row>
      <xdr:rowOff>628809</xdr:rowOff>
    </xdr:to>
    <xdr:pic>
      <xdr:nvPicPr>
        <xdr:cNvPr id="20" name="Имя " descr="Descr ">
          <a:extLst>
            <a:ext uri="{FF2B5EF4-FFF2-40B4-BE49-F238E27FC236}">
              <a16:creationId xmlns:a16="http://schemas.microsoft.com/office/drawing/2014/main" id="{9DEE0B32-976E-4B50-8164-4421B87EDC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090661" y="693421"/>
          <a:ext cx="2788920" cy="552608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5</xdr:col>
      <xdr:colOff>83820</xdr:colOff>
      <xdr:row>4</xdr:row>
      <xdr:rowOff>60961</xdr:rowOff>
    </xdr:from>
    <xdr:to>
      <xdr:col>11</xdr:col>
      <xdr:colOff>29787</xdr:colOff>
      <xdr:row>4</xdr:row>
      <xdr:rowOff>716280</xdr:rowOff>
    </xdr:to>
    <xdr:pic>
      <xdr:nvPicPr>
        <xdr:cNvPr id="21" name="Имя " descr="Descr ">
          <a:extLst>
            <a:ext uri="{FF2B5EF4-FFF2-40B4-BE49-F238E27FC236}">
              <a16:creationId xmlns:a16="http://schemas.microsoft.com/office/drawing/2014/main" id="{0E7834B7-4EE5-494C-AE14-41D272D693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831580" y="1310641"/>
          <a:ext cx="3359727" cy="655319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5</xdr:col>
      <xdr:colOff>60960</xdr:colOff>
      <xdr:row>28</xdr:row>
      <xdr:rowOff>68580</xdr:rowOff>
    </xdr:from>
    <xdr:to>
      <xdr:col>11</xdr:col>
      <xdr:colOff>6927</xdr:colOff>
      <xdr:row>28</xdr:row>
      <xdr:rowOff>752648</xdr:rowOff>
    </xdr:to>
    <xdr:pic>
      <xdr:nvPicPr>
        <xdr:cNvPr id="22" name="Имя " descr="Descr ">
          <a:extLst>
            <a:ext uri="{FF2B5EF4-FFF2-40B4-BE49-F238E27FC236}">
              <a16:creationId xmlns:a16="http://schemas.microsoft.com/office/drawing/2014/main" id="{3EB47DD0-DEE3-4909-A5B5-FBAC559B66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8816340" y="8625840"/>
          <a:ext cx="3359727" cy="684068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5</xdr:col>
      <xdr:colOff>99060</xdr:colOff>
      <xdr:row>29</xdr:row>
      <xdr:rowOff>22860</xdr:rowOff>
    </xdr:from>
    <xdr:to>
      <xdr:col>11</xdr:col>
      <xdr:colOff>45027</xdr:colOff>
      <xdr:row>29</xdr:row>
      <xdr:rowOff>706928</xdr:rowOff>
    </xdr:to>
    <xdr:pic>
      <xdr:nvPicPr>
        <xdr:cNvPr id="23" name="Имя " descr="Descr ">
          <a:extLst>
            <a:ext uri="{FF2B5EF4-FFF2-40B4-BE49-F238E27FC236}">
              <a16:creationId xmlns:a16="http://schemas.microsoft.com/office/drawing/2014/main" id="{D851EE78-79AC-40AD-BAAD-4A394AF387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8854440" y="9387840"/>
          <a:ext cx="3359727" cy="684068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5</xdr:col>
      <xdr:colOff>91440</xdr:colOff>
      <xdr:row>30</xdr:row>
      <xdr:rowOff>45720</xdr:rowOff>
    </xdr:from>
    <xdr:to>
      <xdr:col>11</xdr:col>
      <xdr:colOff>37407</xdr:colOff>
      <xdr:row>30</xdr:row>
      <xdr:rowOff>729788</xdr:rowOff>
    </xdr:to>
    <xdr:pic>
      <xdr:nvPicPr>
        <xdr:cNvPr id="24" name="Имя " descr="Descr ">
          <a:extLst>
            <a:ext uri="{FF2B5EF4-FFF2-40B4-BE49-F238E27FC236}">
              <a16:creationId xmlns:a16="http://schemas.microsoft.com/office/drawing/2014/main" id="{77282558-0B60-4A37-A2D5-B67B9F8C85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8846820" y="10218420"/>
          <a:ext cx="3359727" cy="684068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5</xdr:col>
      <xdr:colOff>83820</xdr:colOff>
      <xdr:row>31</xdr:row>
      <xdr:rowOff>45720</xdr:rowOff>
    </xdr:from>
    <xdr:to>
      <xdr:col>11</xdr:col>
      <xdr:colOff>29787</xdr:colOff>
      <xdr:row>31</xdr:row>
      <xdr:rowOff>729788</xdr:rowOff>
    </xdr:to>
    <xdr:pic>
      <xdr:nvPicPr>
        <xdr:cNvPr id="25" name="Имя " descr="Descr ">
          <a:extLst>
            <a:ext uri="{FF2B5EF4-FFF2-40B4-BE49-F238E27FC236}">
              <a16:creationId xmlns:a16="http://schemas.microsoft.com/office/drawing/2014/main" id="{B95BD2E2-E9E0-4C89-8CEC-FEABDB1CB8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8839200" y="11026140"/>
          <a:ext cx="3359727" cy="684068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5</xdr:col>
      <xdr:colOff>106680</xdr:colOff>
      <xdr:row>33</xdr:row>
      <xdr:rowOff>76200</xdr:rowOff>
    </xdr:from>
    <xdr:to>
      <xdr:col>11</xdr:col>
      <xdr:colOff>52647</xdr:colOff>
      <xdr:row>33</xdr:row>
      <xdr:rowOff>760268</xdr:rowOff>
    </xdr:to>
    <xdr:pic>
      <xdr:nvPicPr>
        <xdr:cNvPr id="26" name="Имя " descr="Descr ">
          <a:extLst>
            <a:ext uri="{FF2B5EF4-FFF2-40B4-BE49-F238E27FC236}">
              <a16:creationId xmlns:a16="http://schemas.microsoft.com/office/drawing/2014/main" id="{8AC55BC2-2950-43DC-B673-9AB634FE09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8862060" y="12519660"/>
          <a:ext cx="3359727" cy="684068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5</xdr:col>
      <xdr:colOff>129540</xdr:colOff>
      <xdr:row>32</xdr:row>
      <xdr:rowOff>38100</xdr:rowOff>
    </xdr:from>
    <xdr:to>
      <xdr:col>11</xdr:col>
      <xdr:colOff>75507</xdr:colOff>
      <xdr:row>33</xdr:row>
      <xdr:rowOff>5888</xdr:rowOff>
    </xdr:to>
    <xdr:pic>
      <xdr:nvPicPr>
        <xdr:cNvPr id="27" name="Имя " descr="Descr ">
          <a:extLst>
            <a:ext uri="{FF2B5EF4-FFF2-40B4-BE49-F238E27FC236}">
              <a16:creationId xmlns:a16="http://schemas.microsoft.com/office/drawing/2014/main" id="{38E3E305-B0AA-4B8D-A97A-988B52133F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8884920" y="11765280"/>
          <a:ext cx="3359727" cy="684068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5</xdr:col>
      <xdr:colOff>106680</xdr:colOff>
      <xdr:row>34</xdr:row>
      <xdr:rowOff>76200</xdr:rowOff>
    </xdr:from>
    <xdr:to>
      <xdr:col>11</xdr:col>
      <xdr:colOff>52647</xdr:colOff>
      <xdr:row>34</xdr:row>
      <xdr:rowOff>760268</xdr:rowOff>
    </xdr:to>
    <xdr:pic>
      <xdr:nvPicPr>
        <xdr:cNvPr id="28" name="Имя " descr="Descr ">
          <a:extLst>
            <a:ext uri="{FF2B5EF4-FFF2-40B4-BE49-F238E27FC236}">
              <a16:creationId xmlns:a16="http://schemas.microsoft.com/office/drawing/2014/main" id="{5725F462-720A-4C37-9C3C-01C1D1DE08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8862060" y="13342620"/>
          <a:ext cx="3359727" cy="684068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5</xdr:col>
      <xdr:colOff>91440</xdr:colOff>
      <xdr:row>35</xdr:row>
      <xdr:rowOff>60960</xdr:rowOff>
    </xdr:from>
    <xdr:to>
      <xdr:col>11</xdr:col>
      <xdr:colOff>37407</xdr:colOff>
      <xdr:row>35</xdr:row>
      <xdr:rowOff>745028</xdr:rowOff>
    </xdr:to>
    <xdr:pic>
      <xdr:nvPicPr>
        <xdr:cNvPr id="29" name="Имя " descr="Descr ">
          <a:extLst>
            <a:ext uri="{FF2B5EF4-FFF2-40B4-BE49-F238E27FC236}">
              <a16:creationId xmlns:a16="http://schemas.microsoft.com/office/drawing/2014/main" id="{C8A8F7D1-1B45-48BF-AAE4-470899E96E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8846820" y="14150340"/>
          <a:ext cx="3359727" cy="684068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5</xdr:col>
      <xdr:colOff>38100</xdr:colOff>
      <xdr:row>43</xdr:row>
      <xdr:rowOff>53340</xdr:rowOff>
    </xdr:from>
    <xdr:to>
      <xdr:col>10</xdr:col>
      <xdr:colOff>532707</xdr:colOff>
      <xdr:row>43</xdr:row>
      <xdr:rowOff>737408</xdr:rowOff>
    </xdr:to>
    <xdr:pic>
      <xdr:nvPicPr>
        <xdr:cNvPr id="30" name="Имя " descr="Descr ">
          <a:extLst>
            <a:ext uri="{FF2B5EF4-FFF2-40B4-BE49-F238E27FC236}">
              <a16:creationId xmlns:a16="http://schemas.microsoft.com/office/drawing/2014/main" id="{71432DDC-9F67-4A61-9077-99EB25F781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8793480" y="15194280"/>
          <a:ext cx="3359727" cy="684068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5</xdr:col>
      <xdr:colOff>114300</xdr:colOff>
      <xdr:row>44</xdr:row>
      <xdr:rowOff>53340</xdr:rowOff>
    </xdr:from>
    <xdr:to>
      <xdr:col>11</xdr:col>
      <xdr:colOff>60267</xdr:colOff>
      <xdr:row>44</xdr:row>
      <xdr:rowOff>737409</xdr:rowOff>
    </xdr:to>
    <xdr:pic>
      <xdr:nvPicPr>
        <xdr:cNvPr id="31" name="Имя " descr="Descr ">
          <a:extLst>
            <a:ext uri="{FF2B5EF4-FFF2-40B4-BE49-F238E27FC236}">
              <a16:creationId xmlns:a16="http://schemas.microsoft.com/office/drawing/2014/main" id="{F0CA9BF5-8CE6-4801-95F0-1DE87DDC2F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8869680" y="16017240"/>
          <a:ext cx="3359727" cy="684069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5</xdr:col>
      <xdr:colOff>60960</xdr:colOff>
      <xdr:row>37</xdr:row>
      <xdr:rowOff>53340</xdr:rowOff>
    </xdr:from>
    <xdr:to>
      <xdr:col>11</xdr:col>
      <xdr:colOff>6927</xdr:colOff>
      <xdr:row>38</xdr:row>
      <xdr:rowOff>13509</xdr:rowOff>
    </xdr:to>
    <xdr:pic>
      <xdr:nvPicPr>
        <xdr:cNvPr id="32" name="Имя " descr="Descr ">
          <a:extLst>
            <a:ext uri="{FF2B5EF4-FFF2-40B4-BE49-F238E27FC236}">
              <a16:creationId xmlns:a16="http://schemas.microsoft.com/office/drawing/2014/main" id="{947F84E5-F33B-4A35-84ED-6362AA01AD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8816340" y="15194280"/>
          <a:ext cx="3359727" cy="684069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68580</xdr:colOff>
      <xdr:row>18</xdr:row>
      <xdr:rowOff>45720</xdr:rowOff>
    </xdr:from>
    <xdr:to>
      <xdr:col>11</xdr:col>
      <xdr:colOff>14547</xdr:colOff>
      <xdr:row>18</xdr:row>
      <xdr:rowOff>714549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BCFBDCFE-E14D-49CB-ACB1-5ACC36F9AB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16340" y="9570720"/>
          <a:ext cx="3359727" cy="668829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5</xdr:col>
      <xdr:colOff>60960</xdr:colOff>
      <xdr:row>4</xdr:row>
      <xdr:rowOff>0</xdr:rowOff>
    </xdr:from>
    <xdr:to>
      <xdr:col>11</xdr:col>
      <xdr:colOff>6927</xdr:colOff>
      <xdr:row>4</xdr:row>
      <xdr:rowOff>13509</xdr:rowOff>
    </xdr:to>
    <xdr:pic>
      <xdr:nvPicPr>
        <xdr:cNvPr id="7" name="Имя " descr="Descr ">
          <a:extLst>
            <a:ext uri="{FF2B5EF4-FFF2-40B4-BE49-F238E27FC236}">
              <a16:creationId xmlns:a16="http://schemas.microsoft.com/office/drawing/2014/main" id="{65500140-7002-4FA0-9631-E9C3396192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816340" y="1310640"/>
          <a:ext cx="3359727" cy="684069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5</xdr:col>
      <xdr:colOff>60960</xdr:colOff>
      <xdr:row>7</xdr:row>
      <xdr:rowOff>68580</xdr:rowOff>
    </xdr:from>
    <xdr:to>
      <xdr:col>11</xdr:col>
      <xdr:colOff>6927</xdr:colOff>
      <xdr:row>7</xdr:row>
      <xdr:rowOff>752648</xdr:rowOff>
    </xdr:to>
    <xdr:pic>
      <xdr:nvPicPr>
        <xdr:cNvPr id="8" name="Имя " descr="Descr ">
          <a:extLst>
            <a:ext uri="{FF2B5EF4-FFF2-40B4-BE49-F238E27FC236}">
              <a16:creationId xmlns:a16="http://schemas.microsoft.com/office/drawing/2014/main" id="{C507E0AA-6903-4510-80DB-F75AF52AA4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816340" y="8625840"/>
          <a:ext cx="3359727" cy="684068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5</xdr:col>
      <xdr:colOff>91440</xdr:colOff>
      <xdr:row>9</xdr:row>
      <xdr:rowOff>45720</xdr:rowOff>
    </xdr:from>
    <xdr:to>
      <xdr:col>11</xdr:col>
      <xdr:colOff>37407</xdr:colOff>
      <xdr:row>9</xdr:row>
      <xdr:rowOff>729788</xdr:rowOff>
    </xdr:to>
    <xdr:pic>
      <xdr:nvPicPr>
        <xdr:cNvPr id="10" name="Имя " descr="Descr ">
          <a:extLst>
            <a:ext uri="{FF2B5EF4-FFF2-40B4-BE49-F238E27FC236}">
              <a16:creationId xmlns:a16="http://schemas.microsoft.com/office/drawing/2014/main" id="{3E7AEE45-0425-4013-AD66-A320E9540E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846820" y="10218420"/>
          <a:ext cx="3359727" cy="684068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5</xdr:col>
      <xdr:colOff>106680</xdr:colOff>
      <xdr:row>12</xdr:row>
      <xdr:rowOff>76200</xdr:rowOff>
    </xdr:from>
    <xdr:to>
      <xdr:col>11</xdr:col>
      <xdr:colOff>52647</xdr:colOff>
      <xdr:row>12</xdr:row>
      <xdr:rowOff>760268</xdr:rowOff>
    </xdr:to>
    <xdr:pic>
      <xdr:nvPicPr>
        <xdr:cNvPr id="12" name="Имя " descr="Descr ">
          <a:extLst>
            <a:ext uri="{FF2B5EF4-FFF2-40B4-BE49-F238E27FC236}">
              <a16:creationId xmlns:a16="http://schemas.microsoft.com/office/drawing/2014/main" id="{7DAAEB6B-A161-4D73-A509-67BCF556CE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862060" y="12519660"/>
          <a:ext cx="3359727" cy="684068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5</xdr:col>
      <xdr:colOff>129540</xdr:colOff>
      <xdr:row>11</xdr:row>
      <xdr:rowOff>38100</xdr:rowOff>
    </xdr:from>
    <xdr:to>
      <xdr:col>11</xdr:col>
      <xdr:colOff>75507</xdr:colOff>
      <xdr:row>12</xdr:row>
      <xdr:rowOff>5888</xdr:rowOff>
    </xdr:to>
    <xdr:pic>
      <xdr:nvPicPr>
        <xdr:cNvPr id="13" name="Имя " descr="Descr ">
          <a:extLst>
            <a:ext uri="{FF2B5EF4-FFF2-40B4-BE49-F238E27FC236}">
              <a16:creationId xmlns:a16="http://schemas.microsoft.com/office/drawing/2014/main" id="{F3774A6D-A7EE-42BC-A607-7453CE2E04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884920" y="11765280"/>
          <a:ext cx="3359727" cy="684068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5</xdr:col>
      <xdr:colOff>1</xdr:colOff>
      <xdr:row>3</xdr:row>
      <xdr:rowOff>0</xdr:rowOff>
    </xdr:from>
    <xdr:to>
      <xdr:col>10</xdr:col>
      <xdr:colOff>396241</xdr:colOff>
      <xdr:row>4</xdr:row>
      <xdr:rowOff>31581</xdr:rowOff>
    </xdr:to>
    <xdr:pic>
      <xdr:nvPicPr>
        <xdr:cNvPr id="19" name="Имя " descr="Descr ">
          <a:extLst>
            <a:ext uri="{FF2B5EF4-FFF2-40B4-BE49-F238E27FC236}">
              <a16:creationId xmlns:a16="http://schemas.microsoft.com/office/drawing/2014/main" id="{B17FFA4B-3962-4AA0-8C93-D06C442F51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755381" y="617220"/>
          <a:ext cx="3261360" cy="664041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5</xdr:col>
      <xdr:colOff>144780</xdr:colOff>
      <xdr:row>10</xdr:row>
      <xdr:rowOff>30480</xdr:rowOff>
    </xdr:from>
    <xdr:to>
      <xdr:col>11</xdr:col>
      <xdr:colOff>90747</xdr:colOff>
      <xdr:row>10</xdr:row>
      <xdr:rowOff>714548</xdr:rowOff>
    </xdr:to>
    <xdr:pic>
      <xdr:nvPicPr>
        <xdr:cNvPr id="20" name="Имя " descr="Descr ">
          <a:extLst>
            <a:ext uri="{FF2B5EF4-FFF2-40B4-BE49-F238E27FC236}">
              <a16:creationId xmlns:a16="http://schemas.microsoft.com/office/drawing/2014/main" id="{7F04A788-9992-403F-9223-2EFDD3C2E8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900160" y="5227320"/>
          <a:ext cx="3359727" cy="684068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5</xdr:col>
      <xdr:colOff>91440</xdr:colOff>
      <xdr:row>8</xdr:row>
      <xdr:rowOff>60960</xdr:rowOff>
    </xdr:from>
    <xdr:to>
      <xdr:col>11</xdr:col>
      <xdr:colOff>37407</xdr:colOff>
      <xdr:row>8</xdr:row>
      <xdr:rowOff>745028</xdr:rowOff>
    </xdr:to>
    <xdr:pic>
      <xdr:nvPicPr>
        <xdr:cNvPr id="21" name="Имя " descr="Descr ">
          <a:extLst>
            <a:ext uri="{FF2B5EF4-FFF2-40B4-BE49-F238E27FC236}">
              <a16:creationId xmlns:a16="http://schemas.microsoft.com/office/drawing/2014/main" id="{69FAB91E-AF1B-442F-9B5E-9F9B3B4E26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8846820" y="3642360"/>
          <a:ext cx="3359727" cy="684068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5</xdr:col>
      <xdr:colOff>60960</xdr:colOff>
      <xdr:row>14</xdr:row>
      <xdr:rowOff>30480</xdr:rowOff>
    </xdr:from>
    <xdr:to>
      <xdr:col>11</xdr:col>
      <xdr:colOff>6927</xdr:colOff>
      <xdr:row>14</xdr:row>
      <xdr:rowOff>714548</xdr:rowOff>
    </xdr:to>
    <xdr:pic>
      <xdr:nvPicPr>
        <xdr:cNvPr id="22" name="Имя " descr="Descr ">
          <a:extLst>
            <a:ext uri="{FF2B5EF4-FFF2-40B4-BE49-F238E27FC236}">
              <a16:creationId xmlns:a16="http://schemas.microsoft.com/office/drawing/2014/main" id="{528E9AE3-30E0-49C7-AF1D-32EE3F9EAF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8816340" y="7741920"/>
          <a:ext cx="3359727" cy="684068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68580</xdr:colOff>
      <xdr:row>40</xdr:row>
      <xdr:rowOff>45720</xdr:rowOff>
    </xdr:from>
    <xdr:to>
      <xdr:col>11</xdr:col>
      <xdr:colOff>14547</xdr:colOff>
      <xdr:row>40</xdr:row>
      <xdr:rowOff>729789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8C3DA5EF-628C-4FB8-A761-C48B98A369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3960" y="9509760"/>
          <a:ext cx="3359727" cy="668829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5</xdr:col>
      <xdr:colOff>83820</xdr:colOff>
      <xdr:row>41</xdr:row>
      <xdr:rowOff>30480</xdr:rowOff>
    </xdr:from>
    <xdr:to>
      <xdr:col>11</xdr:col>
      <xdr:colOff>29787</xdr:colOff>
      <xdr:row>42</xdr:row>
      <xdr:rowOff>28748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A13A4C77-C2E3-4645-93F8-47663095C8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839200" y="10210800"/>
          <a:ext cx="3359727" cy="684068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5</xdr:col>
      <xdr:colOff>60960</xdr:colOff>
      <xdr:row>21</xdr:row>
      <xdr:rowOff>68580</xdr:rowOff>
    </xdr:from>
    <xdr:to>
      <xdr:col>11</xdr:col>
      <xdr:colOff>6927</xdr:colOff>
      <xdr:row>21</xdr:row>
      <xdr:rowOff>752648</xdr:rowOff>
    </xdr:to>
    <xdr:pic>
      <xdr:nvPicPr>
        <xdr:cNvPr id="5" name="Имя " descr="Descr ">
          <a:extLst>
            <a:ext uri="{FF2B5EF4-FFF2-40B4-BE49-F238E27FC236}">
              <a16:creationId xmlns:a16="http://schemas.microsoft.com/office/drawing/2014/main" id="{E77C3453-5345-4C44-A6F1-957BBF08E7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816340" y="2842260"/>
          <a:ext cx="3359727" cy="684068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5</xdr:col>
      <xdr:colOff>114300</xdr:colOff>
      <xdr:row>25</xdr:row>
      <xdr:rowOff>0</xdr:rowOff>
    </xdr:from>
    <xdr:to>
      <xdr:col>11</xdr:col>
      <xdr:colOff>60267</xdr:colOff>
      <xdr:row>25</xdr:row>
      <xdr:rowOff>21128</xdr:rowOff>
    </xdr:to>
    <xdr:pic>
      <xdr:nvPicPr>
        <xdr:cNvPr id="7" name="Имя " descr="Descr ">
          <a:extLst>
            <a:ext uri="{FF2B5EF4-FFF2-40B4-BE49-F238E27FC236}">
              <a16:creationId xmlns:a16="http://schemas.microsoft.com/office/drawing/2014/main" id="{89A64B2A-D5F8-473A-A190-5529EFDF10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869680" y="17000220"/>
          <a:ext cx="3359727" cy="684068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5</xdr:col>
      <xdr:colOff>76200</xdr:colOff>
      <xdr:row>22</xdr:row>
      <xdr:rowOff>68580</xdr:rowOff>
    </xdr:from>
    <xdr:to>
      <xdr:col>11</xdr:col>
      <xdr:colOff>22167</xdr:colOff>
      <xdr:row>22</xdr:row>
      <xdr:rowOff>752648</xdr:rowOff>
    </xdr:to>
    <xdr:pic>
      <xdr:nvPicPr>
        <xdr:cNvPr id="10" name="Имя " descr="Descr ">
          <a:extLst>
            <a:ext uri="{FF2B5EF4-FFF2-40B4-BE49-F238E27FC236}">
              <a16:creationId xmlns:a16="http://schemas.microsoft.com/office/drawing/2014/main" id="{9B6F3041-B675-43EA-9820-D686F5069C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831580" y="14653260"/>
          <a:ext cx="3359727" cy="684068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5</xdr:col>
      <xdr:colOff>91440</xdr:colOff>
      <xdr:row>23</xdr:row>
      <xdr:rowOff>30480</xdr:rowOff>
    </xdr:from>
    <xdr:to>
      <xdr:col>11</xdr:col>
      <xdr:colOff>37407</xdr:colOff>
      <xdr:row>23</xdr:row>
      <xdr:rowOff>714548</xdr:rowOff>
    </xdr:to>
    <xdr:pic>
      <xdr:nvPicPr>
        <xdr:cNvPr id="17" name="Имя " descr="Descr ">
          <a:extLst>
            <a:ext uri="{FF2B5EF4-FFF2-40B4-BE49-F238E27FC236}">
              <a16:creationId xmlns:a16="http://schemas.microsoft.com/office/drawing/2014/main" id="{435E94A3-C69D-4D0A-B5C5-6D8A85A05A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846820" y="15422880"/>
          <a:ext cx="3359727" cy="684068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5</xdr:col>
      <xdr:colOff>99060</xdr:colOff>
      <xdr:row>25</xdr:row>
      <xdr:rowOff>99060</xdr:rowOff>
    </xdr:from>
    <xdr:to>
      <xdr:col>11</xdr:col>
      <xdr:colOff>45027</xdr:colOff>
      <xdr:row>25</xdr:row>
      <xdr:rowOff>783128</xdr:rowOff>
    </xdr:to>
    <xdr:pic>
      <xdr:nvPicPr>
        <xdr:cNvPr id="18" name="Имя " descr="Descr ">
          <a:extLst>
            <a:ext uri="{FF2B5EF4-FFF2-40B4-BE49-F238E27FC236}">
              <a16:creationId xmlns:a16="http://schemas.microsoft.com/office/drawing/2014/main" id="{88AC2310-1AC6-46FE-A48F-75D43CEA75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854440" y="17762220"/>
          <a:ext cx="3359727" cy="684068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5</xdr:col>
      <xdr:colOff>137160</xdr:colOff>
      <xdr:row>27</xdr:row>
      <xdr:rowOff>60960</xdr:rowOff>
    </xdr:from>
    <xdr:to>
      <xdr:col>11</xdr:col>
      <xdr:colOff>83127</xdr:colOff>
      <xdr:row>27</xdr:row>
      <xdr:rowOff>745028</xdr:rowOff>
    </xdr:to>
    <xdr:pic>
      <xdr:nvPicPr>
        <xdr:cNvPr id="19" name="Имя " descr="Descr ">
          <a:extLst>
            <a:ext uri="{FF2B5EF4-FFF2-40B4-BE49-F238E27FC236}">
              <a16:creationId xmlns:a16="http://schemas.microsoft.com/office/drawing/2014/main" id="{2D70992A-9DF7-493B-BEC7-920A66C32F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892540" y="18836640"/>
          <a:ext cx="3359727" cy="684068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5</xdr:col>
      <xdr:colOff>106680</xdr:colOff>
      <xdr:row>28</xdr:row>
      <xdr:rowOff>68580</xdr:rowOff>
    </xdr:from>
    <xdr:to>
      <xdr:col>11</xdr:col>
      <xdr:colOff>52647</xdr:colOff>
      <xdr:row>28</xdr:row>
      <xdr:rowOff>752648</xdr:rowOff>
    </xdr:to>
    <xdr:pic>
      <xdr:nvPicPr>
        <xdr:cNvPr id="20" name="Имя " descr="Descr ">
          <a:extLst>
            <a:ext uri="{FF2B5EF4-FFF2-40B4-BE49-F238E27FC236}">
              <a16:creationId xmlns:a16="http://schemas.microsoft.com/office/drawing/2014/main" id="{C0364ABF-A375-4203-967F-93CEB56CDF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8862060" y="19674840"/>
          <a:ext cx="3359727" cy="684068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5</xdr:col>
      <xdr:colOff>76200</xdr:colOff>
      <xdr:row>29</xdr:row>
      <xdr:rowOff>220980</xdr:rowOff>
    </xdr:from>
    <xdr:to>
      <xdr:col>11</xdr:col>
      <xdr:colOff>22167</xdr:colOff>
      <xdr:row>30</xdr:row>
      <xdr:rowOff>676448</xdr:rowOff>
    </xdr:to>
    <xdr:pic>
      <xdr:nvPicPr>
        <xdr:cNvPr id="21" name="Имя " descr="Descr ">
          <a:extLst>
            <a:ext uri="{FF2B5EF4-FFF2-40B4-BE49-F238E27FC236}">
              <a16:creationId xmlns:a16="http://schemas.microsoft.com/office/drawing/2014/main" id="{ABD92724-D2A5-4D7A-AE6E-C134F99D91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8831580" y="20650200"/>
          <a:ext cx="3359727" cy="684068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5</xdr:col>
      <xdr:colOff>83820</xdr:colOff>
      <xdr:row>31</xdr:row>
      <xdr:rowOff>1</xdr:rowOff>
    </xdr:from>
    <xdr:to>
      <xdr:col>11</xdr:col>
      <xdr:colOff>29787</xdr:colOff>
      <xdr:row>31</xdr:row>
      <xdr:rowOff>708661</xdr:rowOff>
    </xdr:to>
    <xdr:pic>
      <xdr:nvPicPr>
        <xdr:cNvPr id="22" name="Имя " descr="Descr ">
          <a:extLst>
            <a:ext uri="{FF2B5EF4-FFF2-40B4-BE49-F238E27FC236}">
              <a16:creationId xmlns:a16="http://schemas.microsoft.com/office/drawing/2014/main" id="{D5DA938E-1D9E-4D8C-A195-3FB05D8DEF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8839200" y="21381721"/>
          <a:ext cx="3359727" cy="708660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5</xdr:col>
      <xdr:colOff>60960</xdr:colOff>
      <xdr:row>32</xdr:row>
      <xdr:rowOff>30480</xdr:rowOff>
    </xdr:from>
    <xdr:to>
      <xdr:col>11</xdr:col>
      <xdr:colOff>6927</xdr:colOff>
      <xdr:row>33</xdr:row>
      <xdr:rowOff>21129</xdr:rowOff>
    </xdr:to>
    <xdr:pic>
      <xdr:nvPicPr>
        <xdr:cNvPr id="23" name="Имя " descr="Descr ">
          <a:extLst>
            <a:ext uri="{FF2B5EF4-FFF2-40B4-BE49-F238E27FC236}">
              <a16:creationId xmlns:a16="http://schemas.microsoft.com/office/drawing/2014/main" id="{27963C26-632D-499C-881D-EEA1F16DB2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8816340" y="22136100"/>
          <a:ext cx="3359727" cy="684069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5</xdr:col>
      <xdr:colOff>53340</xdr:colOff>
      <xdr:row>32</xdr:row>
      <xdr:rowOff>685800</xdr:rowOff>
    </xdr:from>
    <xdr:to>
      <xdr:col>10</xdr:col>
      <xdr:colOff>547947</xdr:colOff>
      <xdr:row>33</xdr:row>
      <xdr:rowOff>676449</xdr:rowOff>
    </xdr:to>
    <xdr:pic>
      <xdr:nvPicPr>
        <xdr:cNvPr id="24" name="Имя " descr="Descr ">
          <a:extLst>
            <a:ext uri="{FF2B5EF4-FFF2-40B4-BE49-F238E27FC236}">
              <a16:creationId xmlns:a16="http://schemas.microsoft.com/office/drawing/2014/main" id="{0ABD1678-FC18-4C0F-8BEB-B0F42EF96E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8808720" y="22791420"/>
          <a:ext cx="3359727" cy="684069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5</xdr:col>
      <xdr:colOff>99060</xdr:colOff>
      <xdr:row>34</xdr:row>
      <xdr:rowOff>7620</xdr:rowOff>
    </xdr:from>
    <xdr:to>
      <xdr:col>11</xdr:col>
      <xdr:colOff>45027</xdr:colOff>
      <xdr:row>34</xdr:row>
      <xdr:rowOff>691689</xdr:rowOff>
    </xdr:to>
    <xdr:pic>
      <xdr:nvPicPr>
        <xdr:cNvPr id="25" name="Имя " descr="Descr ">
          <a:extLst>
            <a:ext uri="{FF2B5EF4-FFF2-40B4-BE49-F238E27FC236}">
              <a16:creationId xmlns:a16="http://schemas.microsoft.com/office/drawing/2014/main" id="{910574F9-C45C-4A4E-8CFD-264D5A3B2C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8854440" y="23484840"/>
          <a:ext cx="3359727" cy="684069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5</xdr:col>
      <xdr:colOff>121920</xdr:colOff>
      <xdr:row>24</xdr:row>
      <xdr:rowOff>53340</xdr:rowOff>
    </xdr:from>
    <xdr:to>
      <xdr:col>11</xdr:col>
      <xdr:colOff>67887</xdr:colOff>
      <xdr:row>24</xdr:row>
      <xdr:rowOff>737408</xdr:rowOff>
    </xdr:to>
    <xdr:pic>
      <xdr:nvPicPr>
        <xdr:cNvPr id="6" name="Имя " descr="Descr ">
          <a:extLst>
            <a:ext uri="{FF2B5EF4-FFF2-40B4-BE49-F238E27FC236}">
              <a16:creationId xmlns:a16="http://schemas.microsoft.com/office/drawing/2014/main" id="{3F78BBC5-88C1-4505-B8BA-FEBA2B87E2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877300" y="16253460"/>
          <a:ext cx="3359727" cy="684068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 editAs="oneCell">
    <xdr:from>
      <xdr:col>6</xdr:col>
      <xdr:colOff>203890</xdr:colOff>
      <xdr:row>3</xdr:row>
      <xdr:rowOff>22861</xdr:rowOff>
    </xdr:from>
    <xdr:to>
      <xdr:col>7</xdr:col>
      <xdr:colOff>411787</xdr:colOff>
      <xdr:row>4</xdr:row>
      <xdr:rowOff>1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4F454AB7-B582-5BE0-E309-F8B7544B27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9568870" y="640081"/>
          <a:ext cx="817498" cy="609600"/>
        </a:xfrm>
        <a:prstGeom prst="rect">
          <a:avLst/>
        </a:prstGeom>
      </xdr:spPr>
    </xdr:pic>
    <xdr:clientData/>
  </xdr:twoCellAnchor>
  <xdr:twoCellAnchor editAs="oneCell">
    <xdr:from>
      <xdr:col>6</xdr:col>
      <xdr:colOff>53340</xdr:colOff>
      <xdr:row>4</xdr:row>
      <xdr:rowOff>53340</xdr:rowOff>
    </xdr:from>
    <xdr:to>
      <xdr:col>8</xdr:col>
      <xdr:colOff>211857</xdr:colOff>
      <xdr:row>4</xdr:row>
      <xdr:rowOff>796461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5F61472E-C869-431A-3B44-1EC816C0D3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9418320" y="1303020"/>
          <a:ext cx="1316758" cy="74312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56</xdr:row>
      <xdr:rowOff>29883</xdr:rowOff>
    </xdr:from>
    <xdr:to>
      <xdr:col>3</xdr:col>
      <xdr:colOff>5061324</xdr:colOff>
      <xdr:row>77</xdr:row>
      <xdr:rowOff>23112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49FE061C-6A66-195B-6722-703C5A06DE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0" y="22830118"/>
          <a:ext cx="8938559" cy="3287758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83820</xdr:colOff>
      <xdr:row>42</xdr:row>
      <xdr:rowOff>30480</xdr:rowOff>
    </xdr:from>
    <xdr:to>
      <xdr:col>11</xdr:col>
      <xdr:colOff>29787</xdr:colOff>
      <xdr:row>43</xdr:row>
      <xdr:rowOff>28748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2C1F5306-C144-4D0E-90EF-FC6554FFB0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39200" y="27142440"/>
          <a:ext cx="3359727" cy="684068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5</xdr:col>
      <xdr:colOff>60960</xdr:colOff>
      <xdr:row>29</xdr:row>
      <xdr:rowOff>68580</xdr:rowOff>
    </xdr:from>
    <xdr:to>
      <xdr:col>11</xdr:col>
      <xdr:colOff>6927</xdr:colOff>
      <xdr:row>29</xdr:row>
      <xdr:rowOff>752648</xdr:rowOff>
    </xdr:to>
    <xdr:pic>
      <xdr:nvPicPr>
        <xdr:cNvPr id="5" name="Имя " descr="Descr ">
          <a:extLst>
            <a:ext uri="{FF2B5EF4-FFF2-40B4-BE49-F238E27FC236}">
              <a16:creationId xmlns:a16="http://schemas.microsoft.com/office/drawing/2014/main" id="{E989581D-7622-4AA5-BDC1-B156AF8723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816340" y="13845540"/>
          <a:ext cx="3359727" cy="684068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5</xdr:col>
      <xdr:colOff>106680</xdr:colOff>
      <xdr:row>32</xdr:row>
      <xdr:rowOff>38100</xdr:rowOff>
    </xdr:from>
    <xdr:to>
      <xdr:col>11</xdr:col>
      <xdr:colOff>52647</xdr:colOff>
      <xdr:row>32</xdr:row>
      <xdr:rowOff>722168</xdr:rowOff>
    </xdr:to>
    <xdr:pic>
      <xdr:nvPicPr>
        <xdr:cNvPr id="7" name="Имя " descr="Descr ">
          <a:extLst>
            <a:ext uri="{FF2B5EF4-FFF2-40B4-BE49-F238E27FC236}">
              <a16:creationId xmlns:a16="http://schemas.microsoft.com/office/drawing/2014/main" id="{93D79146-059C-4EC8-AA1F-E050AF5177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862060" y="16238220"/>
          <a:ext cx="3359727" cy="684068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5</xdr:col>
      <xdr:colOff>76200</xdr:colOff>
      <xdr:row>30</xdr:row>
      <xdr:rowOff>68580</xdr:rowOff>
    </xdr:from>
    <xdr:to>
      <xdr:col>11</xdr:col>
      <xdr:colOff>22167</xdr:colOff>
      <xdr:row>30</xdr:row>
      <xdr:rowOff>752648</xdr:rowOff>
    </xdr:to>
    <xdr:pic>
      <xdr:nvPicPr>
        <xdr:cNvPr id="8" name="Имя " descr="Descr ">
          <a:extLst>
            <a:ext uri="{FF2B5EF4-FFF2-40B4-BE49-F238E27FC236}">
              <a16:creationId xmlns:a16="http://schemas.microsoft.com/office/drawing/2014/main" id="{EC32EF0E-A04C-4570-9FAF-23430F58F1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831580" y="14653260"/>
          <a:ext cx="3359727" cy="684068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5</xdr:col>
      <xdr:colOff>91440</xdr:colOff>
      <xdr:row>31</xdr:row>
      <xdr:rowOff>30480</xdr:rowOff>
    </xdr:from>
    <xdr:to>
      <xdr:col>11</xdr:col>
      <xdr:colOff>37407</xdr:colOff>
      <xdr:row>31</xdr:row>
      <xdr:rowOff>714548</xdr:rowOff>
    </xdr:to>
    <xdr:pic>
      <xdr:nvPicPr>
        <xdr:cNvPr id="12" name="Имя " descr="Descr ">
          <a:extLst>
            <a:ext uri="{FF2B5EF4-FFF2-40B4-BE49-F238E27FC236}">
              <a16:creationId xmlns:a16="http://schemas.microsoft.com/office/drawing/2014/main" id="{1AFA60C2-82C4-4045-BB8A-4EA1535044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846820" y="15422880"/>
          <a:ext cx="3359727" cy="684068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5</xdr:col>
      <xdr:colOff>106680</xdr:colOff>
      <xdr:row>36</xdr:row>
      <xdr:rowOff>68580</xdr:rowOff>
    </xdr:from>
    <xdr:to>
      <xdr:col>11</xdr:col>
      <xdr:colOff>52647</xdr:colOff>
      <xdr:row>36</xdr:row>
      <xdr:rowOff>752648</xdr:rowOff>
    </xdr:to>
    <xdr:pic>
      <xdr:nvPicPr>
        <xdr:cNvPr id="15" name="Имя " descr="Descr ">
          <a:extLst>
            <a:ext uri="{FF2B5EF4-FFF2-40B4-BE49-F238E27FC236}">
              <a16:creationId xmlns:a16="http://schemas.microsoft.com/office/drawing/2014/main" id="{B4F52276-FAF0-4B5D-801B-283388C909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862060" y="19674840"/>
          <a:ext cx="3359727" cy="684068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5</xdr:col>
      <xdr:colOff>76200</xdr:colOff>
      <xdr:row>37</xdr:row>
      <xdr:rowOff>220980</xdr:rowOff>
    </xdr:from>
    <xdr:to>
      <xdr:col>11</xdr:col>
      <xdr:colOff>22167</xdr:colOff>
      <xdr:row>38</xdr:row>
      <xdr:rowOff>676448</xdr:rowOff>
    </xdr:to>
    <xdr:pic>
      <xdr:nvPicPr>
        <xdr:cNvPr id="16" name="Имя " descr="Descr ">
          <a:extLst>
            <a:ext uri="{FF2B5EF4-FFF2-40B4-BE49-F238E27FC236}">
              <a16:creationId xmlns:a16="http://schemas.microsoft.com/office/drawing/2014/main" id="{6A78634F-B421-4C63-8854-CF94227F9A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831580" y="20650200"/>
          <a:ext cx="3359727" cy="684068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5</xdr:col>
      <xdr:colOff>83820</xdr:colOff>
      <xdr:row>39</xdr:row>
      <xdr:rowOff>1</xdr:rowOff>
    </xdr:from>
    <xdr:to>
      <xdr:col>11</xdr:col>
      <xdr:colOff>29787</xdr:colOff>
      <xdr:row>39</xdr:row>
      <xdr:rowOff>708661</xdr:rowOff>
    </xdr:to>
    <xdr:pic>
      <xdr:nvPicPr>
        <xdr:cNvPr id="17" name="Имя " descr="Descr ">
          <a:extLst>
            <a:ext uri="{FF2B5EF4-FFF2-40B4-BE49-F238E27FC236}">
              <a16:creationId xmlns:a16="http://schemas.microsoft.com/office/drawing/2014/main" id="{82D5DAEA-D442-49C0-B178-F07A01388B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839200" y="21381721"/>
          <a:ext cx="3359727" cy="708660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5</xdr:col>
      <xdr:colOff>60960</xdr:colOff>
      <xdr:row>40</xdr:row>
      <xdr:rowOff>30480</xdr:rowOff>
    </xdr:from>
    <xdr:to>
      <xdr:col>11</xdr:col>
      <xdr:colOff>6927</xdr:colOff>
      <xdr:row>41</xdr:row>
      <xdr:rowOff>0</xdr:rowOff>
    </xdr:to>
    <xdr:pic>
      <xdr:nvPicPr>
        <xdr:cNvPr id="18" name="Имя " descr="Descr ">
          <a:extLst>
            <a:ext uri="{FF2B5EF4-FFF2-40B4-BE49-F238E27FC236}">
              <a16:creationId xmlns:a16="http://schemas.microsoft.com/office/drawing/2014/main" id="{54690CDE-3781-4D60-B930-4DE47514A4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8816340" y="22136100"/>
          <a:ext cx="3359727" cy="684069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5</xdr:col>
      <xdr:colOff>53340</xdr:colOff>
      <xdr:row>40</xdr:row>
      <xdr:rowOff>685800</xdr:rowOff>
    </xdr:from>
    <xdr:to>
      <xdr:col>10</xdr:col>
      <xdr:colOff>547947</xdr:colOff>
      <xdr:row>41</xdr:row>
      <xdr:rowOff>0</xdr:rowOff>
    </xdr:to>
    <xdr:pic>
      <xdr:nvPicPr>
        <xdr:cNvPr id="19" name="Имя " descr="Descr ">
          <a:extLst>
            <a:ext uri="{FF2B5EF4-FFF2-40B4-BE49-F238E27FC236}">
              <a16:creationId xmlns:a16="http://schemas.microsoft.com/office/drawing/2014/main" id="{D04633ED-CCB6-44EF-9361-7D4DB614EB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8808720" y="22791420"/>
          <a:ext cx="3359727" cy="684069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5</xdr:col>
      <xdr:colOff>45720</xdr:colOff>
      <xdr:row>2</xdr:row>
      <xdr:rowOff>175260</xdr:rowOff>
    </xdr:from>
    <xdr:to>
      <xdr:col>10</xdr:col>
      <xdr:colOff>540327</xdr:colOff>
      <xdr:row>4</xdr:row>
      <xdr:rowOff>0</xdr:rowOff>
    </xdr:to>
    <xdr:pic>
      <xdr:nvPicPr>
        <xdr:cNvPr id="21" name="Имя " descr="Descr ">
          <a:extLst>
            <a:ext uri="{FF2B5EF4-FFF2-40B4-BE49-F238E27FC236}">
              <a16:creationId xmlns:a16="http://schemas.microsoft.com/office/drawing/2014/main" id="{53EE838B-376F-4250-A5E4-F5D28AA30A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8801100" y="586740"/>
          <a:ext cx="3359727" cy="684068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5</xdr:col>
      <xdr:colOff>205740</xdr:colOff>
      <xdr:row>35</xdr:row>
      <xdr:rowOff>60960</xdr:rowOff>
    </xdr:from>
    <xdr:to>
      <xdr:col>11</xdr:col>
      <xdr:colOff>151707</xdr:colOff>
      <xdr:row>35</xdr:row>
      <xdr:rowOff>745028</xdr:rowOff>
    </xdr:to>
    <xdr:pic>
      <xdr:nvPicPr>
        <xdr:cNvPr id="9" name="Имя " descr="Descr ">
          <a:extLst>
            <a:ext uri="{FF2B5EF4-FFF2-40B4-BE49-F238E27FC236}">
              <a16:creationId xmlns:a16="http://schemas.microsoft.com/office/drawing/2014/main" id="{364F8683-4AB1-4205-B497-EB0F1D2FC5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8961120" y="18227040"/>
          <a:ext cx="3359727" cy="684068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76200</xdr:colOff>
      <xdr:row>4</xdr:row>
      <xdr:rowOff>60960</xdr:rowOff>
    </xdr:from>
    <xdr:to>
      <xdr:col>10</xdr:col>
      <xdr:colOff>22167</xdr:colOff>
      <xdr:row>4</xdr:row>
      <xdr:rowOff>745029</xdr:rowOff>
    </xdr:to>
    <xdr:pic>
      <xdr:nvPicPr>
        <xdr:cNvPr id="15" name="Имя " descr="Descr ">
          <a:extLst>
            <a:ext uri="{FF2B5EF4-FFF2-40B4-BE49-F238E27FC236}">
              <a16:creationId xmlns:a16="http://schemas.microsoft.com/office/drawing/2014/main" id="{E64304C6-FC54-49CD-B371-7FE1F30B00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31580" y="4823460"/>
          <a:ext cx="3359727" cy="684069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4</xdr:col>
      <xdr:colOff>91440</xdr:colOff>
      <xdr:row>3</xdr:row>
      <xdr:rowOff>76200</xdr:rowOff>
    </xdr:from>
    <xdr:to>
      <xdr:col>10</xdr:col>
      <xdr:colOff>37407</xdr:colOff>
      <xdr:row>3</xdr:row>
      <xdr:rowOff>760268</xdr:rowOff>
    </xdr:to>
    <xdr:pic>
      <xdr:nvPicPr>
        <xdr:cNvPr id="16" name="Имя " descr="Descr ">
          <a:extLst>
            <a:ext uri="{FF2B5EF4-FFF2-40B4-BE49-F238E27FC236}">
              <a16:creationId xmlns:a16="http://schemas.microsoft.com/office/drawing/2014/main" id="{32016761-12A5-4ECF-ACA3-9D37C1B043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46820" y="4030980"/>
          <a:ext cx="3359727" cy="684068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4</xdr:col>
      <xdr:colOff>83820</xdr:colOff>
      <xdr:row>5</xdr:row>
      <xdr:rowOff>441960</xdr:rowOff>
    </xdr:from>
    <xdr:to>
      <xdr:col>10</xdr:col>
      <xdr:colOff>29787</xdr:colOff>
      <xdr:row>7</xdr:row>
      <xdr:rowOff>21128</xdr:rowOff>
    </xdr:to>
    <xdr:pic>
      <xdr:nvPicPr>
        <xdr:cNvPr id="17" name="Имя " descr="Descr ">
          <a:extLst>
            <a:ext uri="{FF2B5EF4-FFF2-40B4-BE49-F238E27FC236}">
              <a16:creationId xmlns:a16="http://schemas.microsoft.com/office/drawing/2014/main" id="{C0BC9764-DA4E-4201-A0AE-07B209644C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839200" y="6019800"/>
          <a:ext cx="3359727" cy="508808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4</xdr:col>
      <xdr:colOff>83820</xdr:colOff>
      <xdr:row>9</xdr:row>
      <xdr:rowOff>53340</xdr:rowOff>
    </xdr:from>
    <xdr:to>
      <xdr:col>10</xdr:col>
      <xdr:colOff>29787</xdr:colOff>
      <xdr:row>9</xdr:row>
      <xdr:rowOff>737409</xdr:rowOff>
    </xdr:to>
    <xdr:pic>
      <xdr:nvPicPr>
        <xdr:cNvPr id="18" name="Имя " descr="Descr ">
          <a:extLst>
            <a:ext uri="{FF2B5EF4-FFF2-40B4-BE49-F238E27FC236}">
              <a16:creationId xmlns:a16="http://schemas.microsoft.com/office/drawing/2014/main" id="{2DB6F334-5DEF-4DD8-B081-99EB29CE03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839200" y="7124700"/>
          <a:ext cx="3359727" cy="684069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4</xdr:col>
      <xdr:colOff>121920</xdr:colOff>
      <xdr:row>9</xdr:row>
      <xdr:rowOff>731520</xdr:rowOff>
    </xdr:from>
    <xdr:to>
      <xdr:col>10</xdr:col>
      <xdr:colOff>67887</xdr:colOff>
      <xdr:row>10</xdr:row>
      <xdr:rowOff>668829</xdr:rowOff>
    </xdr:to>
    <xdr:pic>
      <xdr:nvPicPr>
        <xdr:cNvPr id="19" name="Имя " descr="Descr ">
          <a:extLst>
            <a:ext uri="{FF2B5EF4-FFF2-40B4-BE49-F238E27FC236}">
              <a16:creationId xmlns:a16="http://schemas.microsoft.com/office/drawing/2014/main" id="{6547DF25-F979-46E3-9D1C-4966F37B39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877300" y="7802880"/>
          <a:ext cx="3359727" cy="684069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4</xdr:col>
      <xdr:colOff>106680</xdr:colOff>
      <xdr:row>11</xdr:row>
      <xdr:rowOff>99060</xdr:rowOff>
    </xdr:from>
    <xdr:to>
      <xdr:col>10</xdr:col>
      <xdr:colOff>52647</xdr:colOff>
      <xdr:row>11</xdr:row>
      <xdr:rowOff>783128</xdr:rowOff>
    </xdr:to>
    <xdr:pic>
      <xdr:nvPicPr>
        <xdr:cNvPr id="20" name="Имя " descr="Descr ">
          <a:extLst>
            <a:ext uri="{FF2B5EF4-FFF2-40B4-BE49-F238E27FC236}">
              <a16:creationId xmlns:a16="http://schemas.microsoft.com/office/drawing/2014/main" id="{90389D9A-3FEB-49D9-AB07-8340178E4C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862060" y="8633460"/>
          <a:ext cx="3359727" cy="684068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4</xdr:col>
      <xdr:colOff>106680</xdr:colOff>
      <xdr:row>12</xdr:row>
      <xdr:rowOff>45720</xdr:rowOff>
    </xdr:from>
    <xdr:to>
      <xdr:col>10</xdr:col>
      <xdr:colOff>52647</xdr:colOff>
      <xdr:row>12</xdr:row>
      <xdr:rowOff>729788</xdr:rowOff>
    </xdr:to>
    <xdr:pic>
      <xdr:nvPicPr>
        <xdr:cNvPr id="21" name="Имя " descr="Descr ">
          <a:extLst>
            <a:ext uri="{FF2B5EF4-FFF2-40B4-BE49-F238E27FC236}">
              <a16:creationId xmlns:a16="http://schemas.microsoft.com/office/drawing/2014/main" id="{DA415261-EE9F-420D-AA8C-C9577A1852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862060" y="9403080"/>
          <a:ext cx="3359727" cy="684068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4</xdr:col>
      <xdr:colOff>91440</xdr:colOff>
      <xdr:row>13</xdr:row>
      <xdr:rowOff>45720</xdr:rowOff>
    </xdr:from>
    <xdr:to>
      <xdr:col>10</xdr:col>
      <xdr:colOff>37407</xdr:colOff>
      <xdr:row>13</xdr:row>
      <xdr:rowOff>729789</xdr:rowOff>
    </xdr:to>
    <xdr:pic>
      <xdr:nvPicPr>
        <xdr:cNvPr id="22" name="Имя " descr="Descr ">
          <a:extLst>
            <a:ext uri="{FF2B5EF4-FFF2-40B4-BE49-F238E27FC236}">
              <a16:creationId xmlns:a16="http://schemas.microsoft.com/office/drawing/2014/main" id="{04604F5E-588C-4EF9-8A53-BBC17B001E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846820" y="10195560"/>
          <a:ext cx="3359727" cy="684069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4</xdr:col>
      <xdr:colOff>99060</xdr:colOff>
      <xdr:row>14</xdr:row>
      <xdr:rowOff>30480</xdr:rowOff>
    </xdr:from>
    <xdr:to>
      <xdr:col>10</xdr:col>
      <xdr:colOff>45027</xdr:colOff>
      <xdr:row>14</xdr:row>
      <xdr:rowOff>676448</xdr:rowOff>
    </xdr:to>
    <xdr:pic>
      <xdr:nvPicPr>
        <xdr:cNvPr id="23" name="Имя " descr="Descr ">
          <a:extLst>
            <a:ext uri="{FF2B5EF4-FFF2-40B4-BE49-F238E27FC236}">
              <a16:creationId xmlns:a16="http://schemas.microsoft.com/office/drawing/2014/main" id="{A66AA7AD-6C47-4BFB-9C6A-E67BD54656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8854440" y="10995660"/>
          <a:ext cx="3359727" cy="645968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4</xdr:col>
      <xdr:colOff>76200</xdr:colOff>
      <xdr:row>17</xdr:row>
      <xdr:rowOff>76200</xdr:rowOff>
    </xdr:from>
    <xdr:to>
      <xdr:col>10</xdr:col>
      <xdr:colOff>22167</xdr:colOff>
      <xdr:row>17</xdr:row>
      <xdr:rowOff>760268</xdr:rowOff>
    </xdr:to>
    <xdr:pic>
      <xdr:nvPicPr>
        <xdr:cNvPr id="25" name="Имя " descr="Descr ">
          <a:extLst>
            <a:ext uri="{FF2B5EF4-FFF2-40B4-BE49-F238E27FC236}">
              <a16:creationId xmlns:a16="http://schemas.microsoft.com/office/drawing/2014/main" id="{AFBDC9EE-4262-4F19-82F7-228C878C59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31580" y="5593080"/>
          <a:ext cx="3359727" cy="684068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4</xdr:col>
      <xdr:colOff>45720</xdr:colOff>
      <xdr:row>18</xdr:row>
      <xdr:rowOff>60960</xdr:rowOff>
    </xdr:from>
    <xdr:to>
      <xdr:col>9</xdr:col>
      <xdr:colOff>540327</xdr:colOff>
      <xdr:row>18</xdr:row>
      <xdr:rowOff>745028</xdr:rowOff>
    </xdr:to>
    <xdr:pic>
      <xdr:nvPicPr>
        <xdr:cNvPr id="26" name="Имя " descr="Descr ">
          <a:extLst>
            <a:ext uri="{FF2B5EF4-FFF2-40B4-BE49-F238E27FC236}">
              <a16:creationId xmlns:a16="http://schemas.microsoft.com/office/drawing/2014/main" id="{0BFD448B-F6F3-4DE6-A378-78B2343D50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801100" y="6385560"/>
          <a:ext cx="3359727" cy="684068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4</xdr:col>
      <xdr:colOff>1</xdr:colOff>
      <xdr:row>20</xdr:row>
      <xdr:rowOff>0</xdr:rowOff>
    </xdr:from>
    <xdr:to>
      <xdr:col>9</xdr:col>
      <xdr:colOff>381001</xdr:colOff>
      <xdr:row>21</xdr:row>
      <xdr:rowOff>28477</xdr:rowOff>
    </xdr:to>
    <xdr:pic>
      <xdr:nvPicPr>
        <xdr:cNvPr id="27" name="Имя " descr="Descr ">
          <a:extLst>
            <a:ext uri="{FF2B5EF4-FFF2-40B4-BE49-F238E27FC236}">
              <a16:creationId xmlns:a16="http://schemas.microsoft.com/office/drawing/2014/main" id="{2F883F84-91D3-48B4-B472-3ABE313EDE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8755381" y="8382000"/>
          <a:ext cx="3246120" cy="660937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4</xdr:col>
      <xdr:colOff>91440</xdr:colOff>
      <xdr:row>24</xdr:row>
      <xdr:rowOff>76200</xdr:rowOff>
    </xdr:from>
    <xdr:to>
      <xdr:col>10</xdr:col>
      <xdr:colOff>37407</xdr:colOff>
      <xdr:row>24</xdr:row>
      <xdr:rowOff>760268</xdr:rowOff>
    </xdr:to>
    <xdr:pic>
      <xdr:nvPicPr>
        <xdr:cNvPr id="28" name="Имя " descr="Descr ">
          <a:extLst>
            <a:ext uri="{FF2B5EF4-FFF2-40B4-BE49-F238E27FC236}">
              <a16:creationId xmlns:a16="http://schemas.microsoft.com/office/drawing/2014/main" id="{DD5EE70D-DBCD-42E2-A2B9-5B5C319984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46820" y="3649980"/>
          <a:ext cx="3359727" cy="684068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4</xdr:col>
      <xdr:colOff>83820</xdr:colOff>
      <xdr:row>27</xdr:row>
      <xdr:rowOff>53340</xdr:rowOff>
    </xdr:from>
    <xdr:to>
      <xdr:col>10</xdr:col>
      <xdr:colOff>29787</xdr:colOff>
      <xdr:row>27</xdr:row>
      <xdr:rowOff>737409</xdr:rowOff>
    </xdr:to>
    <xdr:pic>
      <xdr:nvPicPr>
        <xdr:cNvPr id="29" name="Имя " descr="Descr ">
          <a:extLst>
            <a:ext uri="{FF2B5EF4-FFF2-40B4-BE49-F238E27FC236}">
              <a16:creationId xmlns:a16="http://schemas.microsoft.com/office/drawing/2014/main" id="{67D594C9-2230-45B0-8DE5-C252D14452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839200" y="6050280"/>
          <a:ext cx="3359727" cy="684069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4</xdr:col>
      <xdr:colOff>121920</xdr:colOff>
      <xdr:row>27</xdr:row>
      <xdr:rowOff>731520</xdr:rowOff>
    </xdr:from>
    <xdr:to>
      <xdr:col>10</xdr:col>
      <xdr:colOff>67887</xdr:colOff>
      <xdr:row>28</xdr:row>
      <xdr:rowOff>668829</xdr:rowOff>
    </xdr:to>
    <xdr:pic>
      <xdr:nvPicPr>
        <xdr:cNvPr id="30" name="Имя " descr="Descr ">
          <a:extLst>
            <a:ext uri="{FF2B5EF4-FFF2-40B4-BE49-F238E27FC236}">
              <a16:creationId xmlns:a16="http://schemas.microsoft.com/office/drawing/2014/main" id="{DB7D51D4-2926-43C3-A31B-1E5BDD696D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877300" y="6728460"/>
          <a:ext cx="3359727" cy="684069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4</xdr:col>
      <xdr:colOff>106680</xdr:colOff>
      <xdr:row>29</xdr:row>
      <xdr:rowOff>99060</xdr:rowOff>
    </xdr:from>
    <xdr:to>
      <xdr:col>10</xdr:col>
      <xdr:colOff>52647</xdr:colOff>
      <xdr:row>29</xdr:row>
      <xdr:rowOff>783128</xdr:rowOff>
    </xdr:to>
    <xdr:pic>
      <xdr:nvPicPr>
        <xdr:cNvPr id="31" name="Имя " descr="Descr ">
          <a:extLst>
            <a:ext uri="{FF2B5EF4-FFF2-40B4-BE49-F238E27FC236}">
              <a16:creationId xmlns:a16="http://schemas.microsoft.com/office/drawing/2014/main" id="{B9B7298B-FB39-41B6-974C-AD5DFC0F7A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862060" y="7559040"/>
          <a:ext cx="3359727" cy="684068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4</xdr:col>
      <xdr:colOff>106680</xdr:colOff>
      <xdr:row>33</xdr:row>
      <xdr:rowOff>45720</xdr:rowOff>
    </xdr:from>
    <xdr:to>
      <xdr:col>10</xdr:col>
      <xdr:colOff>52647</xdr:colOff>
      <xdr:row>33</xdr:row>
      <xdr:rowOff>729788</xdr:rowOff>
    </xdr:to>
    <xdr:pic>
      <xdr:nvPicPr>
        <xdr:cNvPr id="32" name="Имя " descr="Descr ">
          <a:extLst>
            <a:ext uri="{FF2B5EF4-FFF2-40B4-BE49-F238E27FC236}">
              <a16:creationId xmlns:a16="http://schemas.microsoft.com/office/drawing/2014/main" id="{08FF9064-6C1B-4D72-AE72-3D3C9D8D55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862060" y="10797540"/>
          <a:ext cx="3359727" cy="684068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4</xdr:col>
      <xdr:colOff>91440</xdr:colOff>
      <xdr:row>34</xdr:row>
      <xdr:rowOff>45720</xdr:rowOff>
    </xdr:from>
    <xdr:to>
      <xdr:col>10</xdr:col>
      <xdr:colOff>37407</xdr:colOff>
      <xdr:row>34</xdr:row>
      <xdr:rowOff>729789</xdr:rowOff>
    </xdr:to>
    <xdr:pic>
      <xdr:nvPicPr>
        <xdr:cNvPr id="33" name="Имя " descr="Descr ">
          <a:extLst>
            <a:ext uri="{FF2B5EF4-FFF2-40B4-BE49-F238E27FC236}">
              <a16:creationId xmlns:a16="http://schemas.microsoft.com/office/drawing/2014/main" id="{21F9405D-3D1B-4463-AB87-EAA3F8ADCD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846820" y="11590020"/>
          <a:ext cx="3359727" cy="684069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4</xdr:col>
      <xdr:colOff>99060</xdr:colOff>
      <xdr:row>35</xdr:row>
      <xdr:rowOff>30480</xdr:rowOff>
    </xdr:from>
    <xdr:to>
      <xdr:col>10</xdr:col>
      <xdr:colOff>45027</xdr:colOff>
      <xdr:row>35</xdr:row>
      <xdr:rowOff>676448</xdr:rowOff>
    </xdr:to>
    <xdr:pic>
      <xdr:nvPicPr>
        <xdr:cNvPr id="34" name="Имя " descr="Descr ">
          <a:extLst>
            <a:ext uri="{FF2B5EF4-FFF2-40B4-BE49-F238E27FC236}">
              <a16:creationId xmlns:a16="http://schemas.microsoft.com/office/drawing/2014/main" id="{FC9D7F55-FA9E-4553-AA47-3AED12E04D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8854440" y="12390120"/>
          <a:ext cx="3359727" cy="645968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4</xdr:col>
      <xdr:colOff>0</xdr:colOff>
      <xdr:row>26</xdr:row>
      <xdr:rowOff>76200</xdr:rowOff>
    </xdr:from>
    <xdr:to>
      <xdr:col>9</xdr:col>
      <xdr:colOff>494607</xdr:colOff>
      <xdr:row>26</xdr:row>
      <xdr:rowOff>760268</xdr:rowOff>
    </xdr:to>
    <xdr:pic>
      <xdr:nvPicPr>
        <xdr:cNvPr id="35" name="Имя " descr="Descr ">
          <a:extLst>
            <a:ext uri="{FF2B5EF4-FFF2-40B4-BE49-F238E27FC236}">
              <a16:creationId xmlns:a16="http://schemas.microsoft.com/office/drawing/2014/main" id="{6C58708A-F485-4330-8449-992709340C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755380" y="5265420"/>
          <a:ext cx="3359727" cy="684068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4</xdr:col>
      <xdr:colOff>106680</xdr:colOff>
      <xdr:row>30</xdr:row>
      <xdr:rowOff>53340</xdr:rowOff>
    </xdr:from>
    <xdr:to>
      <xdr:col>10</xdr:col>
      <xdr:colOff>52647</xdr:colOff>
      <xdr:row>30</xdr:row>
      <xdr:rowOff>737408</xdr:rowOff>
    </xdr:to>
    <xdr:pic>
      <xdr:nvPicPr>
        <xdr:cNvPr id="36" name="Имя " descr="Descr ">
          <a:extLst>
            <a:ext uri="{FF2B5EF4-FFF2-40B4-BE49-F238E27FC236}">
              <a16:creationId xmlns:a16="http://schemas.microsoft.com/office/drawing/2014/main" id="{FE749640-6700-4ED4-BAD0-71721A4585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62060" y="8336280"/>
          <a:ext cx="3359727" cy="684068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4</xdr:col>
      <xdr:colOff>83820</xdr:colOff>
      <xdr:row>31</xdr:row>
      <xdr:rowOff>68580</xdr:rowOff>
    </xdr:from>
    <xdr:to>
      <xdr:col>10</xdr:col>
      <xdr:colOff>29787</xdr:colOff>
      <xdr:row>31</xdr:row>
      <xdr:rowOff>752648</xdr:rowOff>
    </xdr:to>
    <xdr:pic>
      <xdr:nvPicPr>
        <xdr:cNvPr id="37" name="Имя " descr="Descr ">
          <a:extLst>
            <a:ext uri="{FF2B5EF4-FFF2-40B4-BE49-F238E27FC236}">
              <a16:creationId xmlns:a16="http://schemas.microsoft.com/office/drawing/2014/main" id="{5BD07670-67F5-4C31-95E2-BB7B9D462B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39200" y="9174480"/>
          <a:ext cx="3359727" cy="684068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4</xdr:col>
      <xdr:colOff>106680</xdr:colOff>
      <xdr:row>32</xdr:row>
      <xdr:rowOff>91440</xdr:rowOff>
    </xdr:from>
    <xdr:to>
      <xdr:col>10</xdr:col>
      <xdr:colOff>52647</xdr:colOff>
      <xdr:row>32</xdr:row>
      <xdr:rowOff>775508</xdr:rowOff>
    </xdr:to>
    <xdr:pic>
      <xdr:nvPicPr>
        <xdr:cNvPr id="38" name="Имя " descr="Descr ">
          <a:extLst>
            <a:ext uri="{FF2B5EF4-FFF2-40B4-BE49-F238E27FC236}">
              <a16:creationId xmlns:a16="http://schemas.microsoft.com/office/drawing/2014/main" id="{E10A2E3E-516B-460C-90AA-F5764559C8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8862060" y="10020300"/>
          <a:ext cx="3359727" cy="684068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4</xdr:col>
      <xdr:colOff>60960</xdr:colOff>
      <xdr:row>38</xdr:row>
      <xdr:rowOff>68580</xdr:rowOff>
    </xdr:from>
    <xdr:to>
      <xdr:col>10</xdr:col>
      <xdr:colOff>6927</xdr:colOff>
      <xdr:row>38</xdr:row>
      <xdr:rowOff>752648</xdr:rowOff>
    </xdr:to>
    <xdr:pic>
      <xdr:nvPicPr>
        <xdr:cNvPr id="39" name="Имя " descr="Descr ">
          <a:extLst>
            <a:ext uri="{FF2B5EF4-FFF2-40B4-BE49-F238E27FC236}">
              <a16:creationId xmlns:a16="http://schemas.microsoft.com/office/drawing/2014/main" id="{CB1BEA50-B3F2-42E1-98CE-EA1EDE8DE5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816340" y="8625840"/>
          <a:ext cx="3359727" cy="684068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4</xdr:col>
      <xdr:colOff>99060</xdr:colOff>
      <xdr:row>39</xdr:row>
      <xdr:rowOff>22860</xdr:rowOff>
    </xdr:from>
    <xdr:to>
      <xdr:col>10</xdr:col>
      <xdr:colOff>45027</xdr:colOff>
      <xdr:row>39</xdr:row>
      <xdr:rowOff>706928</xdr:rowOff>
    </xdr:to>
    <xdr:pic>
      <xdr:nvPicPr>
        <xdr:cNvPr id="40" name="Имя " descr="Descr ">
          <a:extLst>
            <a:ext uri="{FF2B5EF4-FFF2-40B4-BE49-F238E27FC236}">
              <a16:creationId xmlns:a16="http://schemas.microsoft.com/office/drawing/2014/main" id="{20EECDBA-279C-43CB-9B0C-7409A02827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8854440" y="9387840"/>
          <a:ext cx="3359727" cy="684068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4</xdr:col>
      <xdr:colOff>91440</xdr:colOff>
      <xdr:row>40</xdr:row>
      <xdr:rowOff>45720</xdr:rowOff>
    </xdr:from>
    <xdr:to>
      <xdr:col>10</xdr:col>
      <xdr:colOff>37407</xdr:colOff>
      <xdr:row>40</xdr:row>
      <xdr:rowOff>729788</xdr:rowOff>
    </xdr:to>
    <xdr:pic>
      <xdr:nvPicPr>
        <xdr:cNvPr id="41" name="Имя " descr="Descr ">
          <a:extLst>
            <a:ext uri="{FF2B5EF4-FFF2-40B4-BE49-F238E27FC236}">
              <a16:creationId xmlns:a16="http://schemas.microsoft.com/office/drawing/2014/main" id="{15DF5BCD-AE88-45B5-91D3-FE057E7BA6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8846820" y="10218420"/>
          <a:ext cx="3359727" cy="684068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4</xdr:col>
      <xdr:colOff>83820</xdr:colOff>
      <xdr:row>41</xdr:row>
      <xdr:rowOff>45720</xdr:rowOff>
    </xdr:from>
    <xdr:to>
      <xdr:col>10</xdr:col>
      <xdr:colOff>29787</xdr:colOff>
      <xdr:row>41</xdr:row>
      <xdr:rowOff>729788</xdr:rowOff>
    </xdr:to>
    <xdr:pic>
      <xdr:nvPicPr>
        <xdr:cNvPr id="42" name="Имя " descr="Descr ">
          <a:extLst>
            <a:ext uri="{FF2B5EF4-FFF2-40B4-BE49-F238E27FC236}">
              <a16:creationId xmlns:a16="http://schemas.microsoft.com/office/drawing/2014/main" id="{FE33C1F5-7155-46A0-BA73-64B3D25C47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8839200" y="11026140"/>
          <a:ext cx="3359727" cy="684068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4</xdr:col>
      <xdr:colOff>106680</xdr:colOff>
      <xdr:row>43</xdr:row>
      <xdr:rowOff>76200</xdr:rowOff>
    </xdr:from>
    <xdr:to>
      <xdr:col>10</xdr:col>
      <xdr:colOff>52647</xdr:colOff>
      <xdr:row>43</xdr:row>
      <xdr:rowOff>760268</xdr:rowOff>
    </xdr:to>
    <xdr:pic>
      <xdr:nvPicPr>
        <xdr:cNvPr id="43" name="Имя " descr="Descr ">
          <a:extLst>
            <a:ext uri="{FF2B5EF4-FFF2-40B4-BE49-F238E27FC236}">
              <a16:creationId xmlns:a16="http://schemas.microsoft.com/office/drawing/2014/main" id="{7115D99B-5DAA-46B6-B90F-0B402AF97E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862060" y="12519660"/>
          <a:ext cx="3359727" cy="684068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4</xdr:col>
      <xdr:colOff>129540</xdr:colOff>
      <xdr:row>42</xdr:row>
      <xdr:rowOff>38100</xdr:rowOff>
    </xdr:from>
    <xdr:to>
      <xdr:col>10</xdr:col>
      <xdr:colOff>75507</xdr:colOff>
      <xdr:row>43</xdr:row>
      <xdr:rowOff>5888</xdr:rowOff>
    </xdr:to>
    <xdr:pic>
      <xdr:nvPicPr>
        <xdr:cNvPr id="44" name="Имя " descr="Descr ">
          <a:extLst>
            <a:ext uri="{FF2B5EF4-FFF2-40B4-BE49-F238E27FC236}">
              <a16:creationId xmlns:a16="http://schemas.microsoft.com/office/drawing/2014/main" id="{DF2499F9-3EBF-4FA0-A4E5-6832CB432C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884920" y="11765280"/>
          <a:ext cx="3359727" cy="684068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4</xdr:col>
      <xdr:colOff>106680</xdr:colOff>
      <xdr:row>44</xdr:row>
      <xdr:rowOff>76200</xdr:rowOff>
    </xdr:from>
    <xdr:to>
      <xdr:col>10</xdr:col>
      <xdr:colOff>52647</xdr:colOff>
      <xdr:row>44</xdr:row>
      <xdr:rowOff>760268</xdr:rowOff>
    </xdr:to>
    <xdr:pic>
      <xdr:nvPicPr>
        <xdr:cNvPr id="45" name="Имя " descr="Descr ">
          <a:extLst>
            <a:ext uri="{FF2B5EF4-FFF2-40B4-BE49-F238E27FC236}">
              <a16:creationId xmlns:a16="http://schemas.microsoft.com/office/drawing/2014/main" id="{85FAA551-92C9-4CD6-A24E-B148F73CFC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862060" y="13342620"/>
          <a:ext cx="3359727" cy="684068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4</xdr:col>
      <xdr:colOff>91440</xdr:colOff>
      <xdr:row>45</xdr:row>
      <xdr:rowOff>60960</xdr:rowOff>
    </xdr:from>
    <xdr:to>
      <xdr:col>10</xdr:col>
      <xdr:colOff>37407</xdr:colOff>
      <xdr:row>45</xdr:row>
      <xdr:rowOff>745028</xdr:rowOff>
    </xdr:to>
    <xdr:pic>
      <xdr:nvPicPr>
        <xdr:cNvPr id="46" name="Имя " descr="Descr ">
          <a:extLst>
            <a:ext uri="{FF2B5EF4-FFF2-40B4-BE49-F238E27FC236}">
              <a16:creationId xmlns:a16="http://schemas.microsoft.com/office/drawing/2014/main" id="{DBE8E577-2EC2-4EEB-BA7D-58FA8B1958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846820" y="14150340"/>
          <a:ext cx="3359727" cy="684068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4</xdr:col>
      <xdr:colOff>60960</xdr:colOff>
      <xdr:row>48</xdr:row>
      <xdr:rowOff>68580</xdr:rowOff>
    </xdr:from>
    <xdr:to>
      <xdr:col>10</xdr:col>
      <xdr:colOff>6927</xdr:colOff>
      <xdr:row>48</xdr:row>
      <xdr:rowOff>752648</xdr:rowOff>
    </xdr:to>
    <xdr:pic>
      <xdr:nvPicPr>
        <xdr:cNvPr id="47" name="Имя " descr="Descr ">
          <a:extLst>
            <a:ext uri="{FF2B5EF4-FFF2-40B4-BE49-F238E27FC236}">
              <a16:creationId xmlns:a16="http://schemas.microsoft.com/office/drawing/2014/main" id="{DB673876-D82A-4B75-8D8F-9FD9094E80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816340" y="2842260"/>
          <a:ext cx="3359727" cy="684068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4</xdr:col>
      <xdr:colOff>91440</xdr:colOff>
      <xdr:row>50</xdr:row>
      <xdr:rowOff>45720</xdr:rowOff>
    </xdr:from>
    <xdr:to>
      <xdr:col>10</xdr:col>
      <xdr:colOff>37407</xdr:colOff>
      <xdr:row>50</xdr:row>
      <xdr:rowOff>729788</xdr:rowOff>
    </xdr:to>
    <xdr:pic>
      <xdr:nvPicPr>
        <xdr:cNvPr id="48" name="Имя " descr="Descr ">
          <a:extLst>
            <a:ext uri="{FF2B5EF4-FFF2-40B4-BE49-F238E27FC236}">
              <a16:creationId xmlns:a16="http://schemas.microsoft.com/office/drawing/2014/main" id="{E1463817-6433-4178-B26B-ECB625CCB4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8846820" y="4434840"/>
          <a:ext cx="3359727" cy="684068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4</xdr:col>
      <xdr:colOff>106680</xdr:colOff>
      <xdr:row>53</xdr:row>
      <xdr:rowOff>76200</xdr:rowOff>
    </xdr:from>
    <xdr:to>
      <xdr:col>10</xdr:col>
      <xdr:colOff>52647</xdr:colOff>
      <xdr:row>53</xdr:row>
      <xdr:rowOff>760268</xdr:rowOff>
    </xdr:to>
    <xdr:pic>
      <xdr:nvPicPr>
        <xdr:cNvPr id="49" name="Имя " descr="Descr ">
          <a:extLst>
            <a:ext uri="{FF2B5EF4-FFF2-40B4-BE49-F238E27FC236}">
              <a16:creationId xmlns:a16="http://schemas.microsoft.com/office/drawing/2014/main" id="{72453C76-2BE2-43A0-B527-3C758C49B8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862060" y="6736080"/>
          <a:ext cx="3359727" cy="684068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4</xdr:col>
      <xdr:colOff>129540</xdr:colOff>
      <xdr:row>52</xdr:row>
      <xdr:rowOff>38100</xdr:rowOff>
    </xdr:from>
    <xdr:to>
      <xdr:col>10</xdr:col>
      <xdr:colOff>75507</xdr:colOff>
      <xdr:row>53</xdr:row>
      <xdr:rowOff>5888</xdr:rowOff>
    </xdr:to>
    <xdr:pic>
      <xdr:nvPicPr>
        <xdr:cNvPr id="50" name="Имя " descr="Descr ">
          <a:extLst>
            <a:ext uri="{FF2B5EF4-FFF2-40B4-BE49-F238E27FC236}">
              <a16:creationId xmlns:a16="http://schemas.microsoft.com/office/drawing/2014/main" id="{AB77A6C3-B855-4888-8A1A-C8E07F2225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884920" y="5981700"/>
          <a:ext cx="3359727" cy="684068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4</xdr:col>
      <xdr:colOff>144780</xdr:colOff>
      <xdr:row>51</xdr:row>
      <xdr:rowOff>30480</xdr:rowOff>
    </xdr:from>
    <xdr:to>
      <xdr:col>10</xdr:col>
      <xdr:colOff>90747</xdr:colOff>
      <xdr:row>51</xdr:row>
      <xdr:rowOff>714548</xdr:rowOff>
    </xdr:to>
    <xdr:pic>
      <xdr:nvPicPr>
        <xdr:cNvPr id="51" name="Имя " descr="Descr ">
          <a:extLst>
            <a:ext uri="{FF2B5EF4-FFF2-40B4-BE49-F238E27FC236}">
              <a16:creationId xmlns:a16="http://schemas.microsoft.com/office/drawing/2014/main" id="{63DE229E-DBD1-41A8-9A30-54D1984C49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900160" y="5227320"/>
          <a:ext cx="3359727" cy="684068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4</xdr:col>
      <xdr:colOff>91440</xdr:colOff>
      <xdr:row>49</xdr:row>
      <xdr:rowOff>60960</xdr:rowOff>
    </xdr:from>
    <xdr:to>
      <xdr:col>10</xdr:col>
      <xdr:colOff>37407</xdr:colOff>
      <xdr:row>49</xdr:row>
      <xdr:rowOff>745028</xdr:rowOff>
    </xdr:to>
    <xdr:pic>
      <xdr:nvPicPr>
        <xdr:cNvPr id="52" name="Имя " descr="Descr ">
          <a:extLst>
            <a:ext uri="{FF2B5EF4-FFF2-40B4-BE49-F238E27FC236}">
              <a16:creationId xmlns:a16="http://schemas.microsoft.com/office/drawing/2014/main" id="{C60C5EC3-CF31-472C-99A1-6068D74882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8846820" y="3642360"/>
          <a:ext cx="3359727" cy="684068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4</xdr:col>
      <xdr:colOff>60960</xdr:colOff>
      <xdr:row>56</xdr:row>
      <xdr:rowOff>68580</xdr:rowOff>
    </xdr:from>
    <xdr:to>
      <xdr:col>10</xdr:col>
      <xdr:colOff>6927</xdr:colOff>
      <xdr:row>56</xdr:row>
      <xdr:rowOff>752648</xdr:rowOff>
    </xdr:to>
    <xdr:pic>
      <xdr:nvPicPr>
        <xdr:cNvPr id="53" name="Имя " descr="Descr ">
          <a:extLst>
            <a:ext uri="{FF2B5EF4-FFF2-40B4-BE49-F238E27FC236}">
              <a16:creationId xmlns:a16="http://schemas.microsoft.com/office/drawing/2014/main" id="{35D65A89-2618-46F9-97D2-98293AABF5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816340" y="13845540"/>
          <a:ext cx="3359727" cy="684068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4</xdr:col>
      <xdr:colOff>114300</xdr:colOff>
      <xdr:row>59</xdr:row>
      <xdr:rowOff>53340</xdr:rowOff>
    </xdr:from>
    <xdr:to>
      <xdr:col>10</xdr:col>
      <xdr:colOff>60267</xdr:colOff>
      <xdr:row>60</xdr:row>
      <xdr:rowOff>21128</xdr:rowOff>
    </xdr:to>
    <xdr:pic>
      <xdr:nvPicPr>
        <xdr:cNvPr id="54" name="Имя " descr="Descr ">
          <a:extLst>
            <a:ext uri="{FF2B5EF4-FFF2-40B4-BE49-F238E27FC236}">
              <a16:creationId xmlns:a16="http://schemas.microsoft.com/office/drawing/2014/main" id="{3AEC6488-99CF-464B-A9A4-DF5ADA4603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869680" y="17000220"/>
          <a:ext cx="3359727" cy="684068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4</xdr:col>
      <xdr:colOff>76200</xdr:colOff>
      <xdr:row>57</xdr:row>
      <xdr:rowOff>68580</xdr:rowOff>
    </xdr:from>
    <xdr:to>
      <xdr:col>10</xdr:col>
      <xdr:colOff>22167</xdr:colOff>
      <xdr:row>57</xdr:row>
      <xdr:rowOff>752648</xdr:rowOff>
    </xdr:to>
    <xdr:pic>
      <xdr:nvPicPr>
        <xdr:cNvPr id="56" name="Имя " descr="Descr ">
          <a:extLst>
            <a:ext uri="{FF2B5EF4-FFF2-40B4-BE49-F238E27FC236}">
              <a16:creationId xmlns:a16="http://schemas.microsoft.com/office/drawing/2014/main" id="{D69BB8D6-16C3-4AE7-943A-717E53844A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831580" y="14653260"/>
          <a:ext cx="3359727" cy="684068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4</xdr:col>
      <xdr:colOff>91440</xdr:colOff>
      <xdr:row>58</xdr:row>
      <xdr:rowOff>30480</xdr:rowOff>
    </xdr:from>
    <xdr:to>
      <xdr:col>10</xdr:col>
      <xdr:colOff>37407</xdr:colOff>
      <xdr:row>58</xdr:row>
      <xdr:rowOff>714548</xdr:rowOff>
    </xdr:to>
    <xdr:pic>
      <xdr:nvPicPr>
        <xdr:cNvPr id="57" name="Имя " descr="Descr ">
          <a:extLst>
            <a:ext uri="{FF2B5EF4-FFF2-40B4-BE49-F238E27FC236}">
              <a16:creationId xmlns:a16="http://schemas.microsoft.com/office/drawing/2014/main" id="{99CDCF3A-F5C4-4455-87EF-7D44138F01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846820" y="15422880"/>
          <a:ext cx="3359727" cy="684068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4</xdr:col>
      <xdr:colOff>129540</xdr:colOff>
      <xdr:row>60</xdr:row>
      <xdr:rowOff>83820</xdr:rowOff>
    </xdr:from>
    <xdr:to>
      <xdr:col>10</xdr:col>
      <xdr:colOff>75507</xdr:colOff>
      <xdr:row>60</xdr:row>
      <xdr:rowOff>767888</xdr:rowOff>
    </xdr:to>
    <xdr:pic>
      <xdr:nvPicPr>
        <xdr:cNvPr id="58" name="Имя " descr="Descr ">
          <a:extLst>
            <a:ext uri="{FF2B5EF4-FFF2-40B4-BE49-F238E27FC236}">
              <a16:creationId xmlns:a16="http://schemas.microsoft.com/office/drawing/2014/main" id="{8F155FA5-EB16-49FC-AA58-E108F7317E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8877300" y="37719000"/>
          <a:ext cx="3359727" cy="684068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4</xdr:col>
      <xdr:colOff>60960</xdr:colOff>
      <xdr:row>63</xdr:row>
      <xdr:rowOff>68580</xdr:rowOff>
    </xdr:from>
    <xdr:to>
      <xdr:col>10</xdr:col>
      <xdr:colOff>6927</xdr:colOff>
      <xdr:row>63</xdr:row>
      <xdr:rowOff>752648</xdr:rowOff>
    </xdr:to>
    <xdr:pic>
      <xdr:nvPicPr>
        <xdr:cNvPr id="59" name="Имя " descr="Descr ">
          <a:extLst>
            <a:ext uri="{FF2B5EF4-FFF2-40B4-BE49-F238E27FC236}">
              <a16:creationId xmlns:a16="http://schemas.microsoft.com/office/drawing/2014/main" id="{05840CDE-1DE2-4A30-B886-4210356928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816340" y="14051280"/>
          <a:ext cx="3359727" cy="684068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4</xdr:col>
      <xdr:colOff>106680</xdr:colOff>
      <xdr:row>66</xdr:row>
      <xdr:rowOff>38100</xdr:rowOff>
    </xdr:from>
    <xdr:to>
      <xdr:col>10</xdr:col>
      <xdr:colOff>52647</xdr:colOff>
      <xdr:row>66</xdr:row>
      <xdr:rowOff>722168</xdr:rowOff>
    </xdr:to>
    <xdr:pic>
      <xdr:nvPicPr>
        <xdr:cNvPr id="60" name="Имя " descr="Descr ">
          <a:extLst>
            <a:ext uri="{FF2B5EF4-FFF2-40B4-BE49-F238E27FC236}">
              <a16:creationId xmlns:a16="http://schemas.microsoft.com/office/drawing/2014/main" id="{44A2FCA9-1874-4E4B-B6F5-48177048D7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862060" y="16443960"/>
          <a:ext cx="3359727" cy="684068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4</xdr:col>
      <xdr:colOff>76200</xdr:colOff>
      <xdr:row>64</xdr:row>
      <xdr:rowOff>68580</xdr:rowOff>
    </xdr:from>
    <xdr:to>
      <xdr:col>10</xdr:col>
      <xdr:colOff>22167</xdr:colOff>
      <xdr:row>64</xdr:row>
      <xdr:rowOff>752648</xdr:rowOff>
    </xdr:to>
    <xdr:pic>
      <xdr:nvPicPr>
        <xdr:cNvPr id="61" name="Имя " descr="Descr ">
          <a:extLst>
            <a:ext uri="{FF2B5EF4-FFF2-40B4-BE49-F238E27FC236}">
              <a16:creationId xmlns:a16="http://schemas.microsoft.com/office/drawing/2014/main" id="{282F1887-74DD-41B4-A605-DE0E2A21ED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831580" y="14859000"/>
          <a:ext cx="3359727" cy="684068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4</xdr:col>
      <xdr:colOff>91440</xdr:colOff>
      <xdr:row>65</xdr:row>
      <xdr:rowOff>30480</xdr:rowOff>
    </xdr:from>
    <xdr:to>
      <xdr:col>10</xdr:col>
      <xdr:colOff>37407</xdr:colOff>
      <xdr:row>65</xdr:row>
      <xdr:rowOff>714548</xdr:rowOff>
    </xdr:to>
    <xdr:pic>
      <xdr:nvPicPr>
        <xdr:cNvPr id="62" name="Имя " descr="Descr ">
          <a:extLst>
            <a:ext uri="{FF2B5EF4-FFF2-40B4-BE49-F238E27FC236}">
              <a16:creationId xmlns:a16="http://schemas.microsoft.com/office/drawing/2014/main" id="{68D6E99E-54F4-4E20-87B9-F271ABF02A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846820" y="15628620"/>
          <a:ext cx="3359727" cy="684068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mo"/>
        <a:ea typeface="Arimo"/>
        <a:cs typeface="Arimo"/>
      </a:majorFont>
      <a:minorFont>
        <a:latin typeface="Arimo"/>
        <a:ea typeface="Arimo"/>
        <a:cs typeface="Arimo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0000"/>
  </sheetPr>
  <dimension ref="A1:AB994"/>
  <sheetViews>
    <sheetView tabSelected="1" topLeftCell="A19" workbookViewId="0">
      <selection activeCell="P26" sqref="P26"/>
    </sheetView>
  </sheetViews>
  <sheetFormatPr defaultColWidth="14.44140625" defaultRowHeight="15" customHeight="1"/>
  <cols>
    <col min="1" max="1" width="10.88671875" customWidth="1"/>
    <col min="2" max="28" width="8.88671875" customWidth="1"/>
  </cols>
  <sheetData>
    <row r="1" spans="1:18" ht="12.75" customHeight="1"/>
    <row r="2" spans="1:18" ht="12.75" customHeight="1"/>
    <row r="3" spans="1:18" ht="12.75" customHeight="1"/>
    <row r="4" spans="1:18" ht="12.75" customHeight="1"/>
    <row r="5" spans="1:18" ht="12.75" customHeight="1"/>
    <row r="6" spans="1:18" ht="12.75" customHeight="1"/>
    <row r="7" spans="1:18" ht="12.75" customHeight="1"/>
    <row r="8" spans="1:18" ht="54" customHeight="1">
      <c r="A8" s="1">
        <v>1</v>
      </c>
      <c r="B8" s="72" t="s">
        <v>19</v>
      </c>
      <c r="C8" s="71"/>
      <c r="D8" s="71"/>
      <c r="E8" s="71"/>
      <c r="F8" s="71"/>
      <c r="G8" s="71"/>
      <c r="H8" s="71"/>
      <c r="I8" s="1"/>
      <c r="J8" s="1"/>
      <c r="K8" s="1"/>
      <c r="L8" s="1"/>
      <c r="M8" s="1"/>
      <c r="N8" s="1"/>
      <c r="O8" s="1"/>
      <c r="P8" s="1"/>
      <c r="Q8" s="1"/>
      <c r="R8" s="1"/>
    </row>
    <row r="9" spans="1:18" ht="15.75" customHeight="1">
      <c r="A9" s="1"/>
      <c r="B9" s="73" t="s">
        <v>0</v>
      </c>
      <c r="C9" s="71"/>
      <c r="D9" s="71"/>
      <c r="E9" s="71"/>
      <c r="F9" s="71"/>
      <c r="G9" s="71"/>
      <c r="H9" s="71"/>
      <c r="I9" s="1"/>
      <c r="J9" s="1"/>
      <c r="K9" s="1"/>
      <c r="L9" s="1"/>
      <c r="M9" s="1"/>
      <c r="N9" s="1"/>
      <c r="O9" s="1"/>
      <c r="P9" s="1"/>
      <c r="Q9" s="1"/>
      <c r="R9" s="1"/>
    </row>
    <row r="10" spans="1:18" ht="21" customHeight="1">
      <c r="A10" s="3" t="s">
        <v>1</v>
      </c>
      <c r="B10" s="70" t="s">
        <v>20</v>
      </c>
      <c r="C10" s="71"/>
      <c r="D10" s="71"/>
      <c r="E10" s="71"/>
      <c r="F10" s="71"/>
      <c r="G10" s="71"/>
      <c r="H10" s="71"/>
      <c r="I10" s="71"/>
      <c r="J10" s="4"/>
      <c r="K10" s="4"/>
      <c r="L10" s="4"/>
      <c r="M10" s="4"/>
      <c r="N10" s="4"/>
      <c r="O10" s="4"/>
      <c r="P10" s="4"/>
      <c r="Q10" s="4"/>
      <c r="R10" s="4"/>
    </row>
    <row r="11" spans="1:18" ht="21" customHeight="1">
      <c r="A11" s="3" t="s">
        <v>2</v>
      </c>
      <c r="B11" s="70" t="s">
        <v>21</v>
      </c>
      <c r="C11" s="71"/>
      <c r="D11" s="71"/>
      <c r="E11" s="71"/>
      <c r="F11" s="71"/>
      <c r="G11" s="71"/>
      <c r="H11" s="71"/>
      <c r="I11" s="71"/>
      <c r="J11" s="4"/>
      <c r="K11" s="4"/>
      <c r="L11" s="4"/>
      <c r="M11" s="4"/>
      <c r="N11" s="4"/>
      <c r="O11" s="4"/>
      <c r="P11" s="4"/>
      <c r="Q11" s="4"/>
      <c r="R11" s="4"/>
    </row>
    <row r="12" spans="1:18" ht="21" customHeight="1">
      <c r="A12" s="3" t="s">
        <v>3</v>
      </c>
      <c r="B12" s="70" t="s">
        <v>22</v>
      </c>
      <c r="C12" s="71"/>
      <c r="D12" s="71"/>
      <c r="E12" s="71"/>
      <c r="F12" s="71"/>
      <c r="G12" s="71"/>
      <c r="H12" s="71"/>
      <c r="I12" s="71"/>
      <c r="J12" s="4"/>
      <c r="K12" s="4"/>
      <c r="L12" s="4"/>
      <c r="M12" s="4"/>
      <c r="N12" s="4"/>
      <c r="O12" s="4"/>
      <c r="P12" s="4"/>
      <c r="Q12" s="4"/>
      <c r="R12" s="4"/>
    </row>
    <row r="13" spans="1:18" ht="21" customHeight="1">
      <c r="A13" s="3" t="s">
        <v>24</v>
      </c>
      <c r="B13" s="70" t="s">
        <v>23</v>
      </c>
      <c r="C13" s="71"/>
      <c r="D13" s="71"/>
      <c r="E13" s="71"/>
      <c r="F13" s="71"/>
      <c r="G13" s="71"/>
      <c r="H13" s="71"/>
      <c r="I13" s="71"/>
    </row>
    <row r="14" spans="1:18" ht="21" customHeight="1">
      <c r="A14" s="3" t="s">
        <v>7</v>
      </c>
      <c r="B14" s="70" t="s">
        <v>25</v>
      </c>
      <c r="C14" s="71"/>
      <c r="D14" s="71"/>
      <c r="E14" s="71"/>
      <c r="F14" s="71"/>
      <c r="G14" s="71"/>
      <c r="H14" s="71"/>
      <c r="I14" s="71"/>
    </row>
    <row r="15" spans="1:18" ht="21" customHeight="1">
      <c r="A15" s="3" t="s">
        <v>4</v>
      </c>
      <c r="B15" s="70" t="s">
        <v>26</v>
      </c>
      <c r="C15" s="71"/>
      <c r="D15" s="71"/>
      <c r="E15" s="71"/>
      <c r="F15" s="71"/>
      <c r="G15" s="71"/>
      <c r="H15" s="71"/>
      <c r="I15" s="71"/>
    </row>
    <row r="16" spans="1:18" ht="21.75" customHeight="1">
      <c r="A16" s="3" t="s">
        <v>5</v>
      </c>
      <c r="B16" s="70" t="s">
        <v>27</v>
      </c>
      <c r="C16" s="71"/>
      <c r="D16" s="71"/>
      <c r="E16" s="71"/>
      <c r="F16" s="71"/>
      <c r="G16" s="71"/>
      <c r="H16" s="71"/>
      <c r="I16" s="71"/>
      <c r="J16" s="4"/>
      <c r="K16" s="4"/>
      <c r="L16" s="4"/>
      <c r="M16" s="4"/>
      <c r="N16" s="4"/>
      <c r="O16" s="4"/>
      <c r="P16" s="4"/>
      <c r="Q16" s="4"/>
      <c r="R16" s="4"/>
    </row>
    <row r="17" spans="1:28" ht="21" customHeight="1">
      <c r="A17" s="3" t="s">
        <v>6</v>
      </c>
      <c r="B17" s="70" t="s">
        <v>30</v>
      </c>
      <c r="C17" s="71"/>
      <c r="D17" s="71"/>
      <c r="E17" s="71"/>
      <c r="F17" s="71"/>
      <c r="G17" s="71"/>
      <c r="H17" s="71"/>
      <c r="I17" s="71"/>
    </row>
    <row r="18" spans="1:28" ht="21" customHeight="1">
      <c r="A18" s="3" t="s">
        <v>8</v>
      </c>
      <c r="B18" s="5" t="s">
        <v>18</v>
      </c>
    </row>
    <row r="19" spans="1:28" ht="21" customHeight="1">
      <c r="A19" s="1">
        <v>2</v>
      </c>
      <c r="B19" s="72" t="s">
        <v>10</v>
      </c>
      <c r="C19" s="71"/>
      <c r="D19" s="71"/>
      <c r="E19" s="71"/>
      <c r="F19" s="71"/>
      <c r="G19" s="71"/>
      <c r="H19" s="71"/>
      <c r="I19" s="4"/>
    </row>
    <row r="20" spans="1:28" ht="21" customHeight="1">
      <c r="A20" s="3" t="s">
        <v>33</v>
      </c>
      <c r="B20" s="70" t="s">
        <v>29</v>
      </c>
      <c r="C20" s="71"/>
      <c r="D20" s="71"/>
      <c r="E20" s="71"/>
      <c r="F20" s="71"/>
      <c r="G20" s="71"/>
      <c r="H20" s="71"/>
      <c r="I20" s="71"/>
    </row>
    <row r="21" spans="1:28" ht="21" customHeight="1">
      <c r="A21" s="1">
        <v>3</v>
      </c>
      <c r="B21" s="72" t="s">
        <v>28</v>
      </c>
      <c r="C21" s="71"/>
      <c r="D21" s="71"/>
      <c r="E21" s="71"/>
      <c r="F21" s="71"/>
      <c r="G21" s="71"/>
      <c r="H21" s="71"/>
      <c r="I21" s="2"/>
    </row>
    <row r="22" spans="1:28" ht="21" customHeight="1">
      <c r="A22" s="3" t="s">
        <v>36</v>
      </c>
      <c r="B22" s="70" t="s">
        <v>9</v>
      </c>
      <c r="C22" s="71"/>
      <c r="D22" s="71"/>
      <c r="E22" s="71"/>
      <c r="F22" s="71"/>
      <c r="G22" s="71"/>
      <c r="H22" s="71"/>
      <c r="I22" s="71"/>
    </row>
    <row r="23" spans="1:28" ht="21" customHeight="1">
      <c r="A23" s="3" t="s">
        <v>37</v>
      </c>
      <c r="B23" s="5" t="s">
        <v>32</v>
      </c>
    </row>
    <row r="24" spans="1:28" ht="21" customHeight="1">
      <c r="A24" s="3" t="s">
        <v>38</v>
      </c>
      <c r="B24" s="5" t="s">
        <v>35</v>
      </c>
    </row>
    <row r="25" spans="1:28" ht="21" customHeight="1">
      <c r="A25" s="3" t="s">
        <v>39</v>
      </c>
      <c r="B25" s="70" t="s">
        <v>34</v>
      </c>
      <c r="C25" s="71"/>
      <c r="D25" s="71"/>
      <c r="E25" s="71"/>
      <c r="F25" s="71"/>
      <c r="G25" s="71"/>
      <c r="H25" s="71"/>
      <c r="I25" s="71"/>
    </row>
    <row r="26" spans="1:28" ht="21" customHeight="1">
      <c r="A26" s="3" t="s">
        <v>40</v>
      </c>
      <c r="B26" s="70" t="s">
        <v>31</v>
      </c>
      <c r="C26" s="71"/>
      <c r="D26" s="71"/>
      <c r="E26" s="71"/>
      <c r="F26" s="71"/>
      <c r="G26" s="71"/>
      <c r="H26" s="71"/>
      <c r="I26" s="71"/>
    </row>
    <row r="27" spans="1:28" ht="21" customHeight="1"/>
    <row r="28" spans="1:28" ht="21" customHeight="1">
      <c r="A28" s="74" t="s">
        <v>11</v>
      </c>
      <c r="B28" s="75"/>
      <c r="C28" s="75"/>
      <c r="D28" s="75"/>
      <c r="E28" s="75"/>
      <c r="F28" s="76"/>
      <c r="G28" s="7" t="s">
        <v>41</v>
      </c>
      <c r="H28" s="13" t="s">
        <v>42</v>
      </c>
    </row>
    <row r="29" spans="1:28" ht="18" customHeight="1">
      <c r="A29" s="77"/>
      <c r="B29" s="78"/>
      <c r="C29" s="78"/>
      <c r="D29" s="78"/>
      <c r="E29" s="78"/>
      <c r="F29" s="79"/>
      <c r="G29" s="7">
        <v>1</v>
      </c>
      <c r="H29" s="7">
        <v>600</v>
      </c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</row>
    <row r="30" spans="1:28" ht="12.75" customHeight="1"/>
    <row r="31" spans="1:28" ht="12.75" customHeight="1"/>
    <row r="32" spans="1:28" ht="17.399999999999999" customHeight="1">
      <c r="A32" s="38" t="s">
        <v>601</v>
      </c>
    </row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</sheetData>
  <mergeCells count="17">
    <mergeCell ref="A28:F29"/>
    <mergeCell ref="B17:I17"/>
    <mergeCell ref="B21:H21"/>
    <mergeCell ref="B12:I12"/>
    <mergeCell ref="B13:I13"/>
    <mergeCell ref="B14:I14"/>
    <mergeCell ref="B15:I15"/>
    <mergeCell ref="B16:I16"/>
    <mergeCell ref="B22:I22"/>
    <mergeCell ref="B25:I25"/>
    <mergeCell ref="B26:I26"/>
    <mergeCell ref="B19:H19"/>
    <mergeCell ref="B20:I20"/>
    <mergeCell ref="B8:H8"/>
    <mergeCell ref="B9:H9"/>
    <mergeCell ref="B10:I10"/>
    <mergeCell ref="B11:I11"/>
  </mergeCells>
  <phoneticPr fontId="15" type="noConversion"/>
  <pageMargins left="0.7" right="0.7" top="0.75" bottom="0.75" header="0" footer="0"/>
  <pageSetup orientation="landscape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E46AEC-635E-4D34-9CDF-5384CFDD4536}">
  <sheetPr>
    <tabColor theme="6" tint="-0.249977111117893"/>
  </sheetPr>
  <dimension ref="A1:E983"/>
  <sheetViews>
    <sheetView workbookViewId="0">
      <selection activeCell="C20" sqref="C20"/>
    </sheetView>
  </sheetViews>
  <sheetFormatPr defaultColWidth="14.44140625" defaultRowHeight="15" customHeight="1"/>
  <cols>
    <col min="1" max="2" width="18.44140625" customWidth="1"/>
    <col min="3" max="3" width="19.6640625" customWidth="1"/>
    <col min="4" max="4" width="78" customWidth="1"/>
    <col min="5" max="5" width="11.44140625" customWidth="1"/>
    <col min="6" max="7" width="8.88671875" customWidth="1"/>
    <col min="8" max="27" width="8" customWidth="1"/>
  </cols>
  <sheetData>
    <row r="1" spans="1:5" ht="24" customHeight="1" thickBot="1"/>
    <row r="2" spans="1:5" ht="24" customHeight="1" thickBot="1">
      <c r="A2" s="19" t="s">
        <v>12</v>
      </c>
      <c r="B2" s="45" t="s">
        <v>503</v>
      </c>
      <c r="C2" s="97" t="s">
        <v>502</v>
      </c>
      <c r="D2" s="98"/>
      <c r="E2" s="63" t="s">
        <v>44</v>
      </c>
    </row>
    <row r="3" spans="1:5" ht="24" customHeight="1" thickBot="1">
      <c r="A3" s="80" t="s">
        <v>253</v>
      </c>
      <c r="B3" s="81"/>
      <c r="C3" s="82"/>
      <c r="D3" s="82"/>
      <c r="E3" s="83"/>
    </row>
    <row r="4" spans="1:5" ht="24" customHeight="1" thickBot="1">
      <c r="A4" s="17" t="s">
        <v>323</v>
      </c>
      <c r="B4" s="47" t="s">
        <v>521</v>
      </c>
      <c r="C4" s="86" t="s">
        <v>195</v>
      </c>
      <c r="D4" s="87"/>
      <c r="E4" s="21">
        <f>884*Оглавление!H29</f>
        <v>530400</v>
      </c>
    </row>
    <row r="5" spans="1:5" ht="16.5" customHeight="1" thickBot="1">
      <c r="A5" s="88" t="s">
        <v>276</v>
      </c>
      <c r="B5" s="89"/>
      <c r="C5" s="82"/>
      <c r="D5" s="82"/>
      <c r="E5" s="83"/>
    </row>
    <row r="6" spans="1:5" ht="20.25" customHeight="1" thickBot="1">
      <c r="A6" s="17" t="s">
        <v>438</v>
      </c>
      <c r="B6" s="47" t="s">
        <v>585</v>
      </c>
      <c r="C6" s="86" t="s">
        <v>277</v>
      </c>
      <c r="D6" s="87"/>
      <c r="E6" s="21">
        <f>994*Оглавление!H29</f>
        <v>596400</v>
      </c>
    </row>
    <row r="7" spans="1:5" ht="12.75" customHeight="1" thickBot="1">
      <c r="A7" s="80" t="s">
        <v>245</v>
      </c>
      <c r="B7" s="81"/>
      <c r="C7" s="82"/>
      <c r="D7" s="82"/>
      <c r="E7" s="83"/>
    </row>
    <row r="8" spans="1:5" ht="12.75" customHeight="1">
      <c r="A8" s="17" t="s">
        <v>437</v>
      </c>
      <c r="B8" s="47" t="s">
        <v>584</v>
      </c>
      <c r="C8" s="86" t="s">
        <v>251</v>
      </c>
      <c r="D8" s="87"/>
      <c r="E8" s="21">
        <f>1459.5*Оглавление!H29</f>
        <v>875700</v>
      </c>
    </row>
    <row r="9" spans="1:5" ht="12.75" customHeight="1"/>
    <row r="10" spans="1:5" ht="12.75" customHeight="1"/>
    <row r="11" spans="1:5" ht="12.75" customHeight="1"/>
    <row r="12" spans="1:5" ht="12.75" customHeight="1"/>
    <row r="13" spans="1:5" ht="12.75" customHeight="1"/>
    <row r="14" spans="1:5" ht="12.75" customHeight="1"/>
    <row r="15" spans="1:5" ht="12.75" customHeight="1"/>
    <row r="16" spans="1:5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</sheetData>
  <mergeCells count="7">
    <mergeCell ref="C2:D2"/>
    <mergeCell ref="A3:E3"/>
    <mergeCell ref="C4:D4"/>
    <mergeCell ref="A7:E7"/>
    <mergeCell ref="C8:D8"/>
    <mergeCell ref="A5:E5"/>
    <mergeCell ref="C6:D6"/>
  </mergeCells>
  <pageMargins left="0.7" right="0.7" top="0.75" bottom="0.75" header="0" footer="0"/>
  <pageSetup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0C8671-AF1C-4B4F-B03F-5EE21208C2DD}">
  <sheetPr>
    <tabColor rgb="FFFF0000"/>
  </sheetPr>
  <dimension ref="A1:E977"/>
  <sheetViews>
    <sheetView workbookViewId="0">
      <selection activeCell="A3" sqref="A3:XFD18"/>
    </sheetView>
  </sheetViews>
  <sheetFormatPr defaultColWidth="14.44140625" defaultRowHeight="15" customHeight="1"/>
  <cols>
    <col min="1" max="2" width="18.44140625" customWidth="1"/>
    <col min="3" max="3" width="19.6640625" customWidth="1"/>
    <col min="4" max="4" width="78" customWidth="1"/>
    <col min="5" max="5" width="11.44140625" customWidth="1"/>
    <col min="6" max="7" width="8.88671875" customWidth="1"/>
    <col min="8" max="27" width="8" customWidth="1"/>
  </cols>
  <sheetData>
    <row r="1" spans="1:5" ht="12.75" customHeight="1" thickBot="1">
      <c r="A1" s="96"/>
      <c r="B1" s="96"/>
      <c r="C1" s="71"/>
      <c r="D1" s="71"/>
      <c r="E1" s="71"/>
    </row>
    <row r="2" spans="1:5" ht="20.25" customHeight="1" thickBot="1">
      <c r="A2" s="19" t="s">
        <v>12</v>
      </c>
      <c r="B2" s="45" t="s">
        <v>503</v>
      </c>
      <c r="C2" s="97" t="s">
        <v>502</v>
      </c>
      <c r="D2" s="98"/>
      <c r="E2" s="20" t="s">
        <v>44</v>
      </c>
    </row>
    <row r="3" spans="1:5" ht="24" customHeight="1" thickBot="1">
      <c r="A3" s="80" t="s">
        <v>254</v>
      </c>
      <c r="B3" s="81"/>
      <c r="C3" s="82"/>
      <c r="D3" s="82"/>
      <c r="E3" s="83"/>
    </row>
    <row r="4" spans="1:5" ht="24" customHeight="1">
      <c r="A4" s="17" t="s">
        <v>439</v>
      </c>
      <c r="B4" s="64" t="s">
        <v>586</v>
      </c>
      <c r="C4" s="86" t="s">
        <v>258</v>
      </c>
      <c r="D4" s="87"/>
      <c r="E4" s="21">
        <f>271.56*Оглавление!H29</f>
        <v>162936</v>
      </c>
    </row>
    <row r="5" spans="1:5" ht="12.75" customHeight="1">
      <c r="A5" s="17" t="s">
        <v>440</v>
      </c>
      <c r="B5" s="64" t="s">
        <v>587</v>
      </c>
      <c r="C5" s="86" t="s">
        <v>255</v>
      </c>
      <c r="D5" s="87"/>
      <c r="E5" s="21">
        <f>923.49*Оглавление!H29</f>
        <v>554094</v>
      </c>
    </row>
    <row r="6" spans="1:5" ht="12.75" customHeight="1">
      <c r="A6" s="17" t="s">
        <v>441</v>
      </c>
      <c r="B6" s="64" t="s">
        <v>588</v>
      </c>
      <c r="C6" s="86" t="s">
        <v>256</v>
      </c>
      <c r="D6" s="87"/>
      <c r="E6" s="21">
        <f>1899.99*Оглавление!H29</f>
        <v>1139994</v>
      </c>
    </row>
    <row r="7" spans="1:5" ht="12.75" customHeight="1">
      <c r="A7" s="17" t="s">
        <v>442</v>
      </c>
      <c r="B7" s="64" t="s">
        <v>589</v>
      </c>
      <c r="C7" s="86" t="s">
        <v>257</v>
      </c>
      <c r="D7" s="87"/>
      <c r="E7" s="21">
        <f>3096.9*Оглавление!H29</f>
        <v>1858140</v>
      </c>
    </row>
    <row r="8" spans="1:5" ht="12.75" customHeight="1" thickBot="1"/>
    <row r="9" spans="1:5" ht="12.75" customHeight="1" thickBot="1">
      <c r="A9" s="80" t="s">
        <v>259</v>
      </c>
      <c r="B9" s="81"/>
      <c r="C9" s="82"/>
      <c r="D9" s="82"/>
      <c r="E9" s="83"/>
    </row>
    <row r="10" spans="1:5" ht="12.75" customHeight="1">
      <c r="A10" s="17" t="s">
        <v>443</v>
      </c>
      <c r="B10" s="64"/>
      <c r="C10" s="86" t="s">
        <v>260</v>
      </c>
      <c r="D10" s="87"/>
      <c r="E10" s="21">
        <f>651.93*Оглавление!H29</f>
        <v>391157.99999999994</v>
      </c>
    </row>
    <row r="11" spans="1:5" ht="12.75" customHeight="1">
      <c r="A11" s="17" t="s">
        <v>444</v>
      </c>
      <c r="B11" s="64"/>
      <c r="C11" s="86" t="s">
        <v>261</v>
      </c>
      <c r="D11" s="87"/>
      <c r="E11" s="21">
        <f>1628.43*Оглавление!H29</f>
        <v>977058</v>
      </c>
    </row>
    <row r="12" spans="1:5" ht="12.75" customHeight="1">
      <c r="A12" s="17" t="s">
        <v>445</v>
      </c>
      <c r="B12" s="64"/>
      <c r="C12" s="86" t="s">
        <v>262</v>
      </c>
      <c r="D12" s="87"/>
      <c r="E12" s="21">
        <f>2822.55*Оглавление!H29</f>
        <v>1693530</v>
      </c>
    </row>
    <row r="13" spans="1:5" ht="12.75" customHeight="1">
      <c r="A13" s="17" t="s">
        <v>446</v>
      </c>
      <c r="B13" s="64"/>
      <c r="C13" s="86" t="s">
        <v>263</v>
      </c>
      <c r="D13" s="87"/>
      <c r="E13" s="21">
        <f>976.5*Оглавление!H29</f>
        <v>585900</v>
      </c>
    </row>
    <row r="14" spans="1:5" ht="12.75" customHeight="1">
      <c r="A14" s="17" t="s">
        <v>447</v>
      </c>
      <c r="B14" s="64"/>
      <c r="C14" s="86" t="s">
        <v>264</v>
      </c>
      <c r="D14" s="87"/>
      <c r="E14" s="21">
        <f>2170.62*Оглавление!H29</f>
        <v>1302372</v>
      </c>
    </row>
    <row r="15" spans="1:5" ht="12.75" customHeight="1">
      <c r="A15" s="17" t="s">
        <v>448</v>
      </c>
      <c r="B15" s="64"/>
      <c r="C15" s="86" t="s">
        <v>265</v>
      </c>
      <c r="D15" s="87"/>
      <c r="E15" s="21">
        <f>1195.05*Оглавление!H29</f>
        <v>717030</v>
      </c>
    </row>
    <row r="16" spans="1:5" ht="12.75" customHeight="1">
      <c r="A16" s="17" t="s">
        <v>449</v>
      </c>
      <c r="B16" s="64"/>
      <c r="C16" s="86" t="s">
        <v>266</v>
      </c>
      <c r="D16" s="87"/>
      <c r="E16" s="21">
        <f>709.59*Оглавление!H29</f>
        <v>425754</v>
      </c>
    </row>
    <row r="17" spans="1:5" ht="12.75" customHeight="1"/>
    <row r="18" spans="1:5" ht="16.2" customHeight="1">
      <c r="A18" s="17" t="s">
        <v>466</v>
      </c>
      <c r="B18" s="65"/>
      <c r="C18" s="84" t="s">
        <v>266</v>
      </c>
      <c r="D18" s="133"/>
      <c r="E18" s="21">
        <f>709.59*Оглавление!H29</f>
        <v>425754</v>
      </c>
    </row>
    <row r="19" spans="1:5" ht="12.75" customHeight="1"/>
    <row r="20" spans="1:5" ht="12.75" customHeight="1"/>
    <row r="21" spans="1:5" ht="12.75" customHeight="1"/>
    <row r="22" spans="1:5" ht="12.75" customHeight="1"/>
    <row r="23" spans="1:5" ht="12.75" customHeight="1"/>
    <row r="24" spans="1:5" ht="12.75" customHeight="1"/>
    <row r="25" spans="1:5" ht="12.75" customHeight="1"/>
    <row r="26" spans="1:5" ht="12.75" customHeight="1"/>
    <row r="27" spans="1:5" ht="12.75" customHeight="1"/>
    <row r="28" spans="1:5" ht="12.75" customHeight="1"/>
    <row r="29" spans="1:5" ht="12.75" customHeight="1"/>
    <row r="30" spans="1:5" ht="12.75" customHeight="1"/>
    <row r="31" spans="1:5" ht="12.75" customHeight="1"/>
    <row r="32" spans="1:5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</sheetData>
  <mergeCells count="16">
    <mergeCell ref="C18:D18"/>
    <mergeCell ref="A1:E1"/>
    <mergeCell ref="C2:D2"/>
    <mergeCell ref="C5:D5"/>
    <mergeCell ref="C6:D6"/>
    <mergeCell ref="C7:D7"/>
    <mergeCell ref="A9:E9"/>
    <mergeCell ref="A3:E3"/>
    <mergeCell ref="C4:D4"/>
    <mergeCell ref="C16:D16"/>
    <mergeCell ref="C10:D10"/>
    <mergeCell ref="C11:D11"/>
    <mergeCell ref="C12:D12"/>
    <mergeCell ref="C13:D13"/>
    <mergeCell ref="C14:D14"/>
    <mergeCell ref="C15:D15"/>
  </mergeCells>
  <phoneticPr fontId="15" type="noConversion"/>
  <pageMargins left="0.7" right="0.7" top="0.75" bottom="0.75" header="0" footer="0"/>
  <pageSetup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B11746-0A1E-4486-9B5F-9D7D3FF9E4F2}">
  <sheetPr>
    <tabColor theme="7" tint="-0.249977111117893"/>
  </sheetPr>
  <dimension ref="A1:Z958"/>
  <sheetViews>
    <sheetView topLeftCell="A65" workbookViewId="0">
      <selection activeCell="D68" sqref="D68"/>
    </sheetView>
  </sheetViews>
  <sheetFormatPr defaultColWidth="14.44140625" defaultRowHeight="15" customHeight="1"/>
  <cols>
    <col min="1" max="1" width="18.44140625" customWidth="1"/>
    <col min="2" max="2" width="19.6640625" customWidth="1"/>
    <col min="3" max="3" width="78" customWidth="1"/>
    <col min="4" max="4" width="11.44140625" customWidth="1"/>
    <col min="5" max="6" width="8.88671875" customWidth="1"/>
    <col min="7" max="26" width="8" customWidth="1"/>
  </cols>
  <sheetData>
    <row r="1" spans="1:26" ht="12.75" customHeight="1" thickBot="1"/>
    <row r="2" spans="1:26" ht="12.75" customHeight="1" thickBot="1">
      <c r="A2" s="19" t="s">
        <v>12</v>
      </c>
      <c r="B2" s="45" t="s">
        <v>503</v>
      </c>
      <c r="C2" s="44" t="s">
        <v>502</v>
      </c>
      <c r="D2" s="44" t="s">
        <v>44</v>
      </c>
      <c r="E2" s="66"/>
    </row>
    <row r="3" spans="1:26" ht="16.5" customHeight="1" thickBot="1">
      <c r="A3" s="88" t="s">
        <v>267</v>
      </c>
      <c r="B3" s="82"/>
      <c r="C3" s="82"/>
      <c r="D3" s="83"/>
    </row>
    <row r="4" spans="1:26" ht="63.6" customHeight="1">
      <c r="A4" s="16" t="s">
        <v>309</v>
      </c>
      <c r="B4" s="67" t="s">
        <v>51</v>
      </c>
      <c r="C4" s="22" t="s">
        <v>54</v>
      </c>
      <c r="D4" s="21">
        <f>101.37*Оглавление!H29</f>
        <v>60822</v>
      </c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1:26" ht="64.2" customHeight="1">
      <c r="A5" s="17" t="s">
        <v>310</v>
      </c>
      <c r="B5" s="67" t="s">
        <v>52</v>
      </c>
      <c r="C5" s="22" t="s">
        <v>56</v>
      </c>
      <c r="D5" s="21">
        <f>112.53*Оглавление!H29</f>
        <v>67518</v>
      </c>
      <c r="E5" s="11"/>
    </row>
    <row r="6" spans="1:26" ht="36.6" customHeight="1">
      <c r="A6" s="17" t="s">
        <v>311</v>
      </c>
      <c r="B6" s="67" t="s">
        <v>51</v>
      </c>
      <c r="C6" s="22" t="s">
        <v>57</v>
      </c>
      <c r="D6" s="21">
        <f>94.86*Оглавление!H29</f>
        <v>56916</v>
      </c>
    </row>
    <row r="7" spans="1:26" ht="36.6" customHeight="1">
      <c r="A7" s="17" t="s">
        <v>312</v>
      </c>
      <c r="B7" s="67" t="s">
        <v>53</v>
      </c>
      <c r="C7" s="22" t="s">
        <v>58</v>
      </c>
      <c r="D7" s="21">
        <f>93.93*Оглавление!H29</f>
        <v>56358.000000000007</v>
      </c>
    </row>
    <row r="8" spans="1:26" ht="24.75" customHeight="1">
      <c r="A8" s="17" t="s">
        <v>313</v>
      </c>
      <c r="B8" s="67" t="s">
        <v>53</v>
      </c>
      <c r="C8" s="22" t="s">
        <v>59</v>
      </c>
      <c r="D8" s="21">
        <f>83.7*Оглавление!H29</f>
        <v>50220</v>
      </c>
    </row>
    <row r="9" spans="1:26" ht="19.95" customHeight="1">
      <c r="A9" s="17" t="s">
        <v>314</v>
      </c>
      <c r="B9" s="67" t="s">
        <v>63</v>
      </c>
      <c r="C9" s="22" t="s">
        <v>55</v>
      </c>
      <c r="D9" s="21">
        <f>342.5*Оглавление!H29</f>
        <v>205500</v>
      </c>
    </row>
    <row r="10" spans="1:26" ht="58.95" customHeight="1">
      <c r="A10" s="17" t="s">
        <v>315</v>
      </c>
      <c r="B10" s="67" t="s">
        <v>60</v>
      </c>
      <c r="C10" s="22" t="s">
        <v>64</v>
      </c>
      <c r="D10" s="21">
        <f>61*Оглавление!H29</f>
        <v>36600</v>
      </c>
    </row>
    <row r="11" spans="1:26" ht="56.4" customHeight="1">
      <c r="A11" s="17" t="s">
        <v>316</v>
      </c>
      <c r="B11" s="67" t="s">
        <v>61</v>
      </c>
      <c r="C11" s="23" t="s">
        <v>65</v>
      </c>
      <c r="D11" s="21">
        <f>35.25*Оглавление!H29</f>
        <v>21150</v>
      </c>
    </row>
    <row r="12" spans="1:26" ht="64.95" customHeight="1">
      <c r="A12" s="12">
        <v>45106</v>
      </c>
      <c r="B12" s="67" t="s">
        <v>62</v>
      </c>
      <c r="C12" s="23" t="s">
        <v>66</v>
      </c>
      <c r="D12" s="21">
        <f>65*Оглавление!H29</f>
        <v>39000</v>
      </c>
    </row>
    <row r="13" spans="1:26" ht="62.4" customHeight="1">
      <c r="A13" s="17" t="s">
        <v>317</v>
      </c>
      <c r="B13" s="67" t="s">
        <v>68</v>
      </c>
      <c r="C13" s="22" t="s">
        <v>70</v>
      </c>
      <c r="D13" s="21">
        <f>67*Оглавление!H29</f>
        <v>40200</v>
      </c>
    </row>
    <row r="14" spans="1:26" ht="64.2" customHeight="1">
      <c r="A14" s="17" t="s">
        <v>318</v>
      </c>
      <c r="B14" s="67" t="s">
        <v>67</v>
      </c>
      <c r="C14" s="23" t="s">
        <v>72</v>
      </c>
      <c r="D14" s="21">
        <f>145*Оглавление!H29</f>
        <v>87000</v>
      </c>
    </row>
    <row r="15" spans="1:26" ht="57.6" customHeight="1">
      <c r="A15" s="17" t="s">
        <v>450</v>
      </c>
      <c r="B15" s="67" t="s">
        <v>69</v>
      </c>
      <c r="C15" s="23" t="s">
        <v>71</v>
      </c>
      <c r="D15" s="21">
        <f>27.25*Оглавление!H29</f>
        <v>16350</v>
      </c>
    </row>
    <row r="16" spans="1:26" ht="12.75" customHeight="1" thickBot="1"/>
    <row r="17" spans="1:26" ht="16.5" customHeight="1" thickBot="1">
      <c r="A17" s="88" t="s">
        <v>478</v>
      </c>
      <c r="B17" s="82"/>
      <c r="C17" s="82"/>
      <c r="D17" s="83"/>
    </row>
    <row r="18" spans="1:26" ht="63.6" customHeight="1">
      <c r="A18" s="16" t="s">
        <v>98</v>
      </c>
      <c r="B18" s="67" t="s">
        <v>16</v>
      </c>
      <c r="C18" s="22" t="s">
        <v>97</v>
      </c>
      <c r="D18" s="21">
        <f>185*Оглавление!H29</f>
        <v>111000</v>
      </c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</row>
    <row r="19" spans="1:26" ht="64.2" customHeight="1">
      <c r="A19" s="17" t="s">
        <v>339</v>
      </c>
      <c r="B19" s="67" t="s">
        <v>99</v>
      </c>
      <c r="C19" s="22" t="s">
        <v>100</v>
      </c>
      <c r="D19" s="21">
        <f>250*Оглавление!H29</f>
        <v>150000</v>
      </c>
      <c r="E19" s="11"/>
    </row>
    <row r="20" spans="1:26" ht="36.6" customHeight="1">
      <c r="A20" s="17" t="s">
        <v>340</v>
      </c>
      <c r="B20" s="67" t="s">
        <v>15</v>
      </c>
      <c r="C20" s="22" t="s">
        <v>101</v>
      </c>
      <c r="D20" s="21">
        <f>263*Оглавление!H29</f>
        <v>157800</v>
      </c>
    </row>
    <row r="21" spans="1:26" ht="49.95" customHeight="1">
      <c r="A21" s="17" t="s">
        <v>341</v>
      </c>
      <c r="B21" s="67" t="s">
        <v>102</v>
      </c>
      <c r="C21" s="22" t="s">
        <v>104</v>
      </c>
      <c r="D21" s="21">
        <f>55*Оглавление!H29</f>
        <v>33000</v>
      </c>
    </row>
    <row r="22" spans="1:26" ht="27.6" customHeight="1">
      <c r="A22" s="17" t="s">
        <v>342</v>
      </c>
      <c r="B22" s="67" t="s">
        <v>103</v>
      </c>
      <c r="C22" s="22" t="s">
        <v>105</v>
      </c>
      <c r="D22" s="21">
        <f>102*Оглавление!H29</f>
        <v>61200</v>
      </c>
    </row>
    <row r="23" spans="1:26" ht="12.75" customHeight="1" thickBot="1"/>
    <row r="24" spans="1:26" ht="16.5" customHeight="1" thickBot="1">
      <c r="A24" s="88" t="s">
        <v>268</v>
      </c>
      <c r="B24" s="82"/>
      <c r="C24" s="82"/>
      <c r="D24" s="83"/>
    </row>
    <row r="25" spans="1:26" ht="63.6" customHeight="1">
      <c r="A25" s="16" t="s">
        <v>309</v>
      </c>
      <c r="B25" s="68" t="s">
        <v>51</v>
      </c>
      <c r="C25" s="22" t="s">
        <v>54</v>
      </c>
      <c r="D25" s="21">
        <f>101.37*Оглавление!H29</f>
        <v>60822</v>
      </c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</row>
    <row r="26" spans="1:26" ht="63.6" customHeight="1">
      <c r="A26" s="17" t="s">
        <v>314</v>
      </c>
      <c r="B26" s="68" t="s">
        <v>63</v>
      </c>
      <c r="C26" s="22" t="s">
        <v>55</v>
      </c>
      <c r="D26" s="21">
        <f>34.25*Оглавление!H29</f>
        <v>20550</v>
      </c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</row>
    <row r="27" spans="1:26" ht="63.6" customHeight="1">
      <c r="A27" s="17" t="s">
        <v>354</v>
      </c>
      <c r="B27" s="68" t="s">
        <v>122</v>
      </c>
      <c r="C27" s="23" t="s">
        <v>123</v>
      </c>
      <c r="D27" s="21">
        <f>121*Оглавление!H29</f>
        <v>72600</v>
      </c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</row>
    <row r="28" spans="1:26" ht="58.95" customHeight="1">
      <c r="A28" s="17" t="s">
        <v>315</v>
      </c>
      <c r="B28" s="68" t="s">
        <v>60</v>
      </c>
      <c r="C28" s="22" t="s">
        <v>64</v>
      </c>
      <c r="D28" s="21">
        <f>61*Оглавление!H29</f>
        <v>36600</v>
      </c>
    </row>
    <row r="29" spans="1:26" ht="56.4" customHeight="1">
      <c r="A29" s="17" t="s">
        <v>316</v>
      </c>
      <c r="B29" s="68" t="s">
        <v>61</v>
      </c>
      <c r="C29" s="23" t="s">
        <v>65</v>
      </c>
      <c r="D29" s="21">
        <f>35.25*Оглавление!H29</f>
        <v>21150</v>
      </c>
    </row>
    <row r="30" spans="1:26" ht="64.95" customHeight="1">
      <c r="A30" s="12">
        <v>45106</v>
      </c>
      <c r="B30" s="68" t="s">
        <v>62</v>
      </c>
      <c r="C30" s="23" t="s">
        <v>66</v>
      </c>
      <c r="D30" s="21">
        <f>65*Оглавление!H29</f>
        <v>39000</v>
      </c>
    </row>
    <row r="31" spans="1:26" ht="64.95" customHeight="1">
      <c r="A31" s="12">
        <v>45109</v>
      </c>
      <c r="B31" s="68" t="s">
        <v>124</v>
      </c>
      <c r="C31" s="23" t="s">
        <v>126</v>
      </c>
      <c r="D31" s="21">
        <f>130*Оглавление!H29</f>
        <v>78000</v>
      </c>
    </row>
    <row r="32" spans="1:26" ht="64.95" customHeight="1">
      <c r="A32" s="12">
        <v>45110</v>
      </c>
      <c r="B32" s="68" t="s">
        <v>125</v>
      </c>
      <c r="C32" s="23" t="s">
        <v>127</v>
      </c>
      <c r="D32" s="21">
        <f>127*Оглавление!H29</f>
        <v>76200</v>
      </c>
    </row>
    <row r="33" spans="1:26" ht="64.95" customHeight="1">
      <c r="A33" s="12">
        <v>45114</v>
      </c>
      <c r="B33" s="68" t="s">
        <v>128</v>
      </c>
      <c r="C33" s="23" t="s">
        <v>129</v>
      </c>
      <c r="D33" s="21">
        <f>112*Оглавление!H29</f>
        <v>67200</v>
      </c>
    </row>
    <row r="34" spans="1:26" ht="62.4" customHeight="1">
      <c r="A34" s="17" t="s">
        <v>317</v>
      </c>
      <c r="B34" s="68" t="s">
        <v>68</v>
      </c>
      <c r="C34" s="22" t="s">
        <v>70</v>
      </c>
      <c r="D34" s="21">
        <f>675*Оглавление!H29</f>
        <v>405000</v>
      </c>
    </row>
    <row r="35" spans="1:26" ht="64.2" customHeight="1">
      <c r="A35" s="17" t="s">
        <v>318</v>
      </c>
      <c r="B35" s="68" t="s">
        <v>67</v>
      </c>
      <c r="C35" s="23" t="s">
        <v>72</v>
      </c>
      <c r="D35" s="21">
        <f>145*Оглавление!H29</f>
        <v>87000</v>
      </c>
    </row>
    <row r="36" spans="1:26" ht="57.6" customHeight="1">
      <c r="A36" s="17" t="s">
        <v>450</v>
      </c>
      <c r="B36" s="68" t="s">
        <v>69</v>
      </c>
      <c r="C36" s="23" t="s">
        <v>71</v>
      </c>
      <c r="D36" s="21">
        <f>27.25*Оглавление!H29</f>
        <v>16350</v>
      </c>
    </row>
    <row r="37" spans="1:26" ht="12.75" customHeight="1" thickBot="1"/>
    <row r="38" spans="1:26" ht="16.5" customHeight="1" thickBot="1">
      <c r="A38" s="88" t="s">
        <v>269</v>
      </c>
      <c r="B38" s="82"/>
      <c r="C38" s="82"/>
      <c r="D38" s="83"/>
    </row>
    <row r="39" spans="1:26" ht="63.6" customHeight="1">
      <c r="A39" s="16" t="s">
        <v>451</v>
      </c>
      <c r="B39" s="68" t="s">
        <v>16</v>
      </c>
      <c r="C39" s="22" t="s">
        <v>159</v>
      </c>
      <c r="D39" s="21">
        <f>204*Оглавление!H29</f>
        <v>122400</v>
      </c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</row>
    <row r="40" spans="1:26" ht="63.6" customHeight="1">
      <c r="A40" s="17" t="s">
        <v>452</v>
      </c>
      <c r="B40" s="68" t="s">
        <v>155</v>
      </c>
      <c r="C40" s="22" t="s">
        <v>160</v>
      </c>
      <c r="D40" s="21">
        <f>153*Оглавление!H29</f>
        <v>91800</v>
      </c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</row>
    <row r="41" spans="1:26" ht="63.6" customHeight="1">
      <c r="A41" s="17" t="s">
        <v>453</v>
      </c>
      <c r="B41" s="68" t="s">
        <v>155</v>
      </c>
      <c r="C41" s="23" t="s">
        <v>161</v>
      </c>
      <c r="D41" s="21">
        <f>63*Оглавление!H29</f>
        <v>37800</v>
      </c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</row>
    <row r="42" spans="1:26" ht="58.95" customHeight="1">
      <c r="A42" s="17" t="s">
        <v>454</v>
      </c>
      <c r="B42" s="68" t="s">
        <v>156</v>
      </c>
      <c r="C42" s="22" t="s">
        <v>162</v>
      </c>
      <c r="D42" s="21">
        <f>99*Оглавление!H29</f>
        <v>59400</v>
      </c>
      <c r="K42" s="9"/>
    </row>
    <row r="43" spans="1:26" ht="56.4" customHeight="1">
      <c r="A43" s="17" t="s">
        <v>455</v>
      </c>
      <c r="B43" s="68" t="s">
        <v>157</v>
      </c>
      <c r="C43" s="23" t="s">
        <v>163</v>
      </c>
      <c r="D43" s="21">
        <f>263*Оглавление!H29</f>
        <v>157800</v>
      </c>
    </row>
    <row r="44" spans="1:26" ht="64.95" customHeight="1">
      <c r="A44" s="17" t="s">
        <v>456</v>
      </c>
      <c r="B44" s="68" t="s">
        <v>99</v>
      </c>
      <c r="C44" s="23" t="s">
        <v>164</v>
      </c>
      <c r="D44" s="21">
        <f>270*Оглавление!H29</f>
        <v>162000</v>
      </c>
    </row>
    <row r="45" spans="1:26" ht="64.95" customHeight="1">
      <c r="A45" s="17" t="s">
        <v>457</v>
      </c>
      <c r="B45" s="68" t="s">
        <v>158</v>
      </c>
      <c r="C45" s="23" t="s">
        <v>165</v>
      </c>
      <c r="D45" s="21">
        <f>268*Оглавление!H29</f>
        <v>160800</v>
      </c>
    </row>
    <row r="46" spans="1:26" ht="64.95" customHeight="1">
      <c r="A46" s="17" t="s">
        <v>458</v>
      </c>
      <c r="B46" s="68" t="s">
        <v>15</v>
      </c>
      <c r="C46" s="23" t="s">
        <v>166</v>
      </c>
      <c r="D46" s="21">
        <f>278*Оглавление!H29</f>
        <v>166800</v>
      </c>
    </row>
    <row r="47" spans="1:26" ht="12.75" customHeight="1" thickBot="1"/>
    <row r="48" spans="1:26" ht="16.5" customHeight="1" thickBot="1">
      <c r="A48" s="88" t="s">
        <v>270</v>
      </c>
      <c r="B48" s="82"/>
      <c r="C48" s="82"/>
      <c r="D48" s="83"/>
    </row>
    <row r="49" spans="1:26" ht="63.6" customHeight="1">
      <c r="A49" s="16" t="s">
        <v>381</v>
      </c>
      <c r="B49" s="68" t="s">
        <v>16</v>
      </c>
      <c r="C49" s="22" t="s">
        <v>188</v>
      </c>
      <c r="D49" s="21">
        <f>214.2*Оглавление!H29</f>
        <v>128520</v>
      </c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</row>
    <row r="50" spans="1:26" ht="63.6" customHeight="1">
      <c r="A50" s="17" t="s">
        <v>382</v>
      </c>
      <c r="B50" s="68" t="s">
        <v>185</v>
      </c>
      <c r="C50" s="22" t="s">
        <v>187</v>
      </c>
      <c r="D50" s="21">
        <f>169.05*Оглавление!H29</f>
        <v>101430</v>
      </c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</row>
    <row r="51" spans="1:26" ht="63.6" customHeight="1">
      <c r="A51" s="17" t="s">
        <v>383</v>
      </c>
      <c r="B51" s="68" t="s">
        <v>186</v>
      </c>
      <c r="C51" s="23" t="s">
        <v>184</v>
      </c>
      <c r="D51" s="21">
        <f>70.35*Оглавление!H29</f>
        <v>42210</v>
      </c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</row>
    <row r="52" spans="1:26" ht="58.95" customHeight="1">
      <c r="A52" s="17" t="s">
        <v>384</v>
      </c>
      <c r="B52" s="68" t="s">
        <v>99</v>
      </c>
      <c r="C52" s="22" t="s">
        <v>179</v>
      </c>
      <c r="D52" s="21">
        <f>283.5*Оглавление!H29</f>
        <v>170100</v>
      </c>
    </row>
    <row r="53" spans="1:26" ht="56.4" customHeight="1">
      <c r="A53" s="17" t="s">
        <v>385</v>
      </c>
      <c r="B53" s="68" t="s">
        <v>158</v>
      </c>
      <c r="C53" s="23" t="s">
        <v>178</v>
      </c>
      <c r="D53" s="21">
        <f>281.4*Оглавление!H29</f>
        <v>168840</v>
      </c>
    </row>
    <row r="54" spans="1:26" ht="64.95" customHeight="1">
      <c r="A54" s="17" t="s">
        <v>459</v>
      </c>
      <c r="B54" s="68" t="s">
        <v>15</v>
      </c>
      <c r="C54" s="23" t="s">
        <v>177</v>
      </c>
      <c r="D54" s="21">
        <f>291.9*Оглавление!H29</f>
        <v>175140</v>
      </c>
    </row>
    <row r="55" spans="1:26" ht="12.75" customHeight="1" thickBot="1"/>
    <row r="56" spans="1:26" ht="16.5" customHeight="1" thickBot="1">
      <c r="A56" s="88" t="s">
        <v>286</v>
      </c>
      <c r="B56" s="82"/>
      <c r="C56" s="82"/>
      <c r="D56" s="83"/>
    </row>
    <row r="57" spans="1:26" ht="63.6" customHeight="1">
      <c r="A57" s="16" t="s">
        <v>392</v>
      </c>
      <c r="B57" s="68" t="s">
        <v>196</v>
      </c>
      <c r="C57" s="22" t="s">
        <v>201</v>
      </c>
      <c r="D57" s="21">
        <f>329*Оглавление!H29</f>
        <v>197400</v>
      </c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</row>
    <row r="58" spans="1:26" ht="63.6" customHeight="1">
      <c r="A58" s="17" t="s">
        <v>393</v>
      </c>
      <c r="B58" s="68" t="s">
        <v>14</v>
      </c>
      <c r="C58" s="22" t="s">
        <v>198</v>
      </c>
      <c r="D58" s="21">
        <f>276*Оглавление!H29</f>
        <v>165600</v>
      </c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</row>
    <row r="59" spans="1:26" ht="63.6" customHeight="1">
      <c r="A59" s="17" t="s">
        <v>394</v>
      </c>
      <c r="B59" s="68" t="s">
        <v>15</v>
      </c>
      <c r="C59" s="23" t="s">
        <v>199</v>
      </c>
      <c r="D59" s="21">
        <f>329*Оглавление!H29</f>
        <v>197400</v>
      </c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</row>
    <row r="60" spans="1:26" ht="56.4" customHeight="1">
      <c r="A60" s="17" t="s">
        <v>395</v>
      </c>
      <c r="B60" s="68" t="s">
        <v>197</v>
      </c>
      <c r="C60" s="23" t="s">
        <v>279</v>
      </c>
      <c r="D60" s="21">
        <f>316*Оглавление!H29</f>
        <v>189600</v>
      </c>
    </row>
    <row r="61" spans="1:26" ht="64.95" customHeight="1">
      <c r="A61" s="17" t="s">
        <v>396</v>
      </c>
      <c r="B61" s="68" t="s">
        <v>185</v>
      </c>
      <c r="C61" s="23" t="s">
        <v>200</v>
      </c>
      <c r="D61" s="21">
        <f>278*Оглавление!H29</f>
        <v>166800</v>
      </c>
    </row>
    <row r="62" spans="1:26" ht="12.75" customHeight="1" thickBot="1"/>
    <row r="63" spans="1:26" ht="15.6" customHeight="1" thickBot="1">
      <c r="A63" s="88" t="s">
        <v>247</v>
      </c>
      <c r="B63" s="82"/>
      <c r="C63" s="82"/>
      <c r="D63" s="83"/>
    </row>
    <row r="64" spans="1:26" ht="63.6" customHeight="1">
      <c r="A64" s="16" t="s">
        <v>429</v>
      </c>
      <c r="B64" s="68" t="s">
        <v>14</v>
      </c>
      <c r="C64" s="22" t="s">
        <v>239</v>
      </c>
      <c r="D64" s="21">
        <f>388*Оглавление!H29</f>
        <v>232800</v>
      </c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</row>
    <row r="65" spans="1:26" ht="63.6" customHeight="1">
      <c r="A65" s="16" t="s">
        <v>430</v>
      </c>
      <c r="B65" s="68" t="s">
        <v>15</v>
      </c>
      <c r="C65" s="22" t="s">
        <v>240</v>
      </c>
      <c r="D65" s="21">
        <f>376*Оглавление!H29</f>
        <v>225600</v>
      </c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</row>
    <row r="66" spans="1:26" ht="63.6" customHeight="1">
      <c r="A66" s="16" t="s">
        <v>431</v>
      </c>
      <c r="B66" s="68" t="s">
        <v>17</v>
      </c>
      <c r="C66" s="23" t="s">
        <v>241</v>
      </c>
      <c r="D66" s="21">
        <f>442*Оглавление!H29</f>
        <v>265200</v>
      </c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</row>
    <row r="67" spans="1:26" ht="58.95" customHeight="1">
      <c r="A67" s="16" t="s">
        <v>432</v>
      </c>
      <c r="B67" s="68" t="s">
        <v>197</v>
      </c>
      <c r="C67" s="22" t="s">
        <v>242</v>
      </c>
      <c r="D67" s="21">
        <f>369*Оглавление!H29</f>
        <v>221400</v>
      </c>
    </row>
    <row r="68" spans="1:26" ht="56.4" customHeight="1">
      <c r="A68" s="16" t="s">
        <v>433</v>
      </c>
      <c r="B68" s="68" t="s">
        <v>185</v>
      </c>
      <c r="C68" s="23" t="s">
        <v>200</v>
      </c>
      <c r="D68" s="21">
        <f>266*Оглавление!H29</f>
        <v>159600</v>
      </c>
    </row>
    <row r="69" spans="1:26" ht="12.75" customHeight="1"/>
    <row r="70" spans="1:26" ht="12.75" customHeight="1"/>
    <row r="71" spans="1:26" ht="12.75" customHeight="1"/>
    <row r="72" spans="1:26" ht="12.75" customHeight="1"/>
    <row r="73" spans="1:26" ht="12.75" customHeight="1"/>
    <row r="74" spans="1:26" ht="12.75" customHeight="1"/>
    <row r="75" spans="1:26" ht="12.75" customHeight="1"/>
    <row r="76" spans="1:26" ht="12.75" customHeight="1"/>
    <row r="77" spans="1:26" ht="12.75" customHeight="1"/>
    <row r="78" spans="1:26" ht="12.75" customHeight="1"/>
    <row r="79" spans="1:26" ht="12.75" customHeight="1"/>
    <row r="80" spans="1:26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</sheetData>
  <mergeCells count="7">
    <mergeCell ref="A63:D63"/>
    <mergeCell ref="A3:D3"/>
    <mergeCell ref="A17:D17"/>
    <mergeCell ref="A24:D24"/>
    <mergeCell ref="A38:D38"/>
    <mergeCell ref="A48:D48"/>
    <mergeCell ref="A56:D56"/>
  </mergeCells>
  <pageMargins left="0.7" right="0.7" top="0.75" bottom="0.75" header="0" footer="0"/>
  <pageSetup orientation="landscape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CAAD1B-858E-43B9-8DB6-DA2800134E2D}">
  <sheetPr>
    <tabColor rgb="FFFFFF00"/>
  </sheetPr>
  <dimension ref="A1:D644"/>
  <sheetViews>
    <sheetView workbookViewId="0">
      <selection activeCell="K1" sqref="K1:K1048576"/>
    </sheetView>
  </sheetViews>
  <sheetFormatPr defaultColWidth="14.44140625" defaultRowHeight="15" customHeight="1"/>
  <cols>
    <col min="1" max="1" width="18.44140625" customWidth="1"/>
    <col min="2" max="2" width="19.6640625" customWidth="1"/>
    <col min="3" max="3" width="78" customWidth="1"/>
    <col min="4" max="4" width="11.44140625" customWidth="1"/>
    <col min="5" max="6" width="8.88671875" customWidth="1"/>
    <col min="7" max="26" width="8" customWidth="1"/>
  </cols>
  <sheetData>
    <row r="1" spans="1:4" ht="12.75" customHeight="1" thickBot="1"/>
    <row r="2" spans="1:4" ht="22.95" customHeight="1" thickBot="1">
      <c r="A2" s="88" t="s">
        <v>287</v>
      </c>
      <c r="B2" s="82"/>
      <c r="C2" s="82"/>
      <c r="D2" s="83"/>
    </row>
    <row r="3" spans="1:4" ht="65.400000000000006" customHeight="1">
      <c r="A3" s="16" t="s">
        <v>397</v>
      </c>
      <c r="B3" s="84" t="s">
        <v>202</v>
      </c>
      <c r="C3" s="85"/>
      <c r="D3" s="21">
        <f>194*Оглавление!H29</f>
        <v>116400</v>
      </c>
    </row>
    <row r="4" spans="1:4" ht="64.95" customHeight="1">
      <c r="A4" s="16" t="s">
        <v>398</v>
      </c>
      <c r="B4" s="84" t="s">
        <v>203</v>
      </c>
      <c r="C4" s="85"/>
      <c r="D4" s="21">
        <f>533*Оглавление!H29</f>
        <v>319800</v>
      </c>
    </row>
    <row r="5" spans="1:4" ht="12.75" customHeight="1" thickBot="1"/>
    <row r="6" spans="1:4" ht="22.95" customHeight="1" thickBot="1">
      <c r="A6" s="88" t="s">
        <v>278</v>
      </c>
      <c r="B6" s="82"/>
      <c r="C6" s="82"/>
      <c r="D6" s="83"/>
    </row>
    <row r="7" spans="1:4" ht="65.400000000000006" customHeight="1">
      <c r="A7" s="16" t="s">
        <v>434</v>
      </c>
      <c r="B7" s="84" t="s">
        <v>202</v>
      </c>
      <c r="C7" s="85"/>
      <c r="D7" s="21">
        <f>185*Оглавление!H29</f>
        <v>111000</v>
      </c>
    </row>
    <row r="8" spans="1:4" ht="64.95" customHeight="1">
      <c r="A8" s="16" t="s">
        <v>435</v>
      </c>
      <c r="B8" s="84" t="s">
        <v>203</v>
      </c>
      <c r="C8" s="85"/>
      <c r="D8" s="21">
        <f>538*Оглавление!H29</f>
        <v>322800</v>
      </c>
    </row>
    <row r="9" spans="1:4" ht="12.75" customHeight="1"/>
    <row r="10" spans="1:4" ht="12.75" customHeight="1"/>
    <row r="11" spans="1:4" ht="12.75" customHeight="1"/>
    <row r="12" spans="1:4" ht="12.75" customHeight="1"/>
    <row r="13" spans="1:4" ht="12.75" customHeight="1"/>
    <row r="14" spans="1:4" ht="12.75" customHeight="1"/>
    <row r="15" spans="1:4" ht="12.75" customHeight="1"/>
    <row r="16" spans="1:4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</sheetData>
  <mergeCells count="6">
    <mergeCell ref="B8:C8"/>
    <mergeCell ref="A2:D2"/>
    <mergeCell ref="B3:C3"/>
    <mergeCell ref="B4:C4"/>
    <mergeCell ref="A6:D6"/>
    <mergeCell ref="B7:C7"/>
  </mergeCells>
  <pageMargins left="0.7" right="0.7" top="0.75" bottom="0.75" header="0" footer="0"/>
  <pageSetup orientation="landscape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AB325C-4EC4-47C4-BC65-69337C8218FF}">
  <sheetPr>
    <tabColor rgb="FFFF66CC"/>
  </sheetPr>
  <dimension ref="A1:D588"/>
  <sheetViews>
    <sheetView workbookViewId="0">
      <selection activeCell="K34" sqref="K1:K1048576"/>
    </sheetView>
  </sheetViews>
  <sheetFormatPr defaultColWidth="14.44140625" defaultRowHeight="15" customHeight="1"/>
  <cols>
    <col min="1" max="1" width="18.44140625" customWidth="1"/>
    <col min="2" max="2" width="19.6640625" customWidth="1"/>
    <col min="3" max="3" width="78" customWidth="1"/>
    <col min="4" max="4" width="11.44140625" customWidth="1"/>
    <col min="5" max="6" width="8.88671875" customWidth="1"/>
    <col min="7" max="26" width="8" customWidth="1"/>
  </cols>
  <sheetData>
    <row r="1" spans="1:4" ht="12.75" customHeight="1" thickBot="1"/>
    <row r="2" spans="1:4" ht="16.5" customHeight="1" thickBot="1">
      <c r="A2" s="80" t="s">
        <v>106</v>
      </c>
      <c r="B2" s="82"/>
      <c r="C2" s="82"/>
      <c r="D2" s="83"/>
    </row>
    <row r="3" spans="1:4" ht="49.95" customHeight="1">
      <c r="A3" s="16" t="s">
        <v>343</v>
      </c>
      <c r="B3" s="84" t="s">
        <v>107</v>
      </c>
      <c r="C3" s="85"/>
      <c r="D3" s="21">
        <f>96*Оглавление!H29</f>
        <v>57600</v>
      </c>
    </row>
    <row r="4" spans="1:4" ht="27.6" customHeight="1">
      <c r="A4" s="16" t="s">
        <v>344</v>
      </c>
      <c r="B4" s="84" t="s">
        <v>108</v>
      </c>
      <c r="C4" s="85"/>
      <c r="D4" s="21">
        <f>96*Оглавление!H29</f>
        <v>57600</v>
      </c>
    </row>
    <row r="5" spans="1:4" ht="31.2" customHeight="1">
      <c r="A5" s="16" t="s">
        <v>345</v>
      </c>
      <c r="B5" s="84" t="s">
        <v>109</v>
      </c>
      <c r="C5" s="85"/>
      <c r="D5" s="21">
        <f>179*Оглавление!H29</f>
        <v>107400</v>
      </c>
    </row>
    <row r="6" spans="1:4" ht="33.6" customHeight="1">
      <c r="A6" s="16" t="s">
        <v>346</v>
      </c>
      <c r="B6" s="84" t="s">
        <v>110</v>
      </c>
      <c r="C6" s="85"/>
      <c r="D6" s="21">
        <f>179*Оглавление!H29</f>
        <v>107400</v>
      </c>
    </row>
    <row r="7" spans="1:4" ht="36.6" customHeight="1">
      <c r="A7" s="16" t="s">
        <v>347</v>
      </c>
      <c r="B7" s="84" t="s">
        <v>111</v>
      </c>
      <c r="C7" s="85"/>
      <c r="D7" s="21">
        <f>86.75*Оглавление!H29</f>
        <v>52050</v>
      </c>
    </row>
    <row r="8" spans="1:4" ht="35.4" customHeight="1">
      <c r="A8" s="16" t="s">
        <v>348</v>
      </c>
      <c r="B8" s="84" t="s">
        <v>112</v>
      </c>
      <c r="C8" s="85"/>
      <c r="D8" s="21">
        <f>80*Оглавление!H29</f>
        <v>48000</v>
      </c>
    </row>
    <row r="9" spans="1:4" ht="12.75" customHeight="1" thickBot="1"/>
    <row r="10" spans="1:4" ht="18" customHeight="1" thickBot="1">
      <c r="A10" s="80" t="s">
        <v>168</v>
      </c>
      <c r="B10" s="82"/>
      <c r="C10" s="82"/>
      <c r="D10" s="83"/>
    </row>
    <row r="11" spans="1:4" ht="57" customHeight="1">
      <c r="A11" s="16" t="s">
        <v>343</v>
      </c>
      <c r="B11" s="84" t="s">
        <v>107</v>
      </c>
      <c r="C11" s="85"/>
      <c r="D11" s="21">
        <f>96*Оглавление!H29</f>
        <v>57600</v>
      </c>
    </row>
    <row r="12" spans="1:4" ht="25.2" customHeight="1">
      <c r="A12" s="16" t="s">
        <v>344</v>
      </c>
      <c r="B12" s="84" t="s">
        <v>108</v>
      </c>
      <c r="C12" s="85"/>
      <c r="D12" s="21">
        <f>96*Оглавление!H29</f>
        <v>57600</v>
      </c>
    </row>
    <row r="13" spans="1:4" ht="25.2" customHeight="1">
      <c r="A13" s="16" t="s">
        <v>345</v>
      </c>
      <c r="B13" s="84" t="s">
        <v>109</v>
      </c>
      <c r="C13" s="85"/>
      <c r="D13" s="21">
        <f>179*Оглавление!H29</f>
        <v>107400</v>
      </c>
    </row>
    <row r="14" spans="1:4" ht="29.4" customHeight="1">
      <c r="A14" s="16" t="s">
        <v>346</v>
      </c>
      <c r="B14" s="84" t="s">
        <v>110</v>
      </c>
      <c r="C14" s="85"/>
      <c r="D14" s="21">
        <f>179*Оглавление!H29</f>
        <v>107400</v>
      </c>
    </row>
    <row r="15" spans="1:4" ht="35.4" customHeight="1">
      <c r="A15" s="16" t="s">
        <v>347</v>
      </c>
      <c r="B15" s="84" t="s">
        <v>111</v>
      </c>
      <c r="C15" s="85"/>
      <c r="D15" s="21">
        <f>86.75*Оглавление!H29</f>
        <v>52050</v>
      </c>
    </row>
    <row r="16" spans="1:4" ht="35.4" customHeight="1">
      <c r="A16" s="16" t="s">
        <v>348</v>
      </c>
      <c r="B16" s="84" t="s">
        <v>112</v>
      </c>
      <c r="C16" s="85"/>
      <c r="D16" s="21">
        <f>80*Оглавление!H29</f>
        <v>48000</v>
      </c>
    </row>
    <row r="17" spans="1:4" ht="63" customHeight="1">
      <c r="A17" s="16" t="s">
        <v>169</v>
      </c>
      <c r="B17" s="84" t="s">
        <v>171</v>
      </c>
      <c r="C17" s="85"/>
      <c r="D17" s="21">
        <f>76*Оглавление!H29</f>
        <v>45600</v>
      </c>
    </row>
    <row r="18" spans="1:4" ht="64.95" customHeight="1">
      <c r="A18" s="16" t="s">
        <v>170</v>
      </c>
      <c r="B18" s="84" t="s">
        <v>172</v>
      </c>
      <c r="C18" s="85"/>
      <c r="D18" s="21">
        <f>179*Оглавление!H29</f>
        <v>107400</v>
      </c>
    </row>
    <row r="19" spans="1:4" ht="12.75" customHeight="1" thickBot="1"/>
    <row r="20" spans="1:4" ht="18" customHeight="1" thickBot="1">
      <c r="A20" s="80" t="s">
        <v>181</v>
      </c>
      <c r="B20" s="82"/>
      <c r="C20" s="82"/>
      <c r="D20" s="83"/>
    </row>
    <row r="21" spans="1:4" ht="57" customHeight="1">
      <c r="A21" s="16" t="s">
        <v>189</v>
      </c>
      <c r="B21" s="84" t="s">
        <v>192</v>
      </c>
      <c r="C21" s="85"/>
      <c r="D21" s="21">
        <f>227*Оглавление!H29</f>
        <v>136200</v>
      </c>
    </row>
    <row r="22" spans="1:4" ht="25.2" customHeight="1">
      <c r="A22" s="16" t="s">
        <v>190</v>
      </c>
      <c r="B22" s="84" t="s">
        <v>193</v>
      </c>
      <c r="C22" s="85"/>
      <c r="D22" s="21">
        <f>376*Оглавление!H29</f>
        <v>225600</v>
      </c>
    </row>
    <row r="23" spans="1:4" ht="39.6" customHeight="1">
      <c r="A23" s="16" t="s">
        <v>191</v>
      </c>
      <c r="B23" s="84" t="s">
        <v>194</v>
      </c>
      <c r="C23" s="85"/>
      <c r="D23" s="21">
        <f>290*Оглавление!H29</f>
        <v>174000</v>
      </c>
    </row>
    <row r="24" spans="1:4" ht="12.75" customHeight="1" thickBot="1"/>
    <row r="25" spans="1:4" ht="18" customHeight="1" thickBot="1">
      <c r="A25" s="88" t="s">
        <v>288</v>
      </c>
      <c r="B25" s="82"/>
      <c r="C25" s="82"/>
      <c r="D25" s="83"/>
    </row>
    <row r="26" spans="1:4" ht="57" customHeight="1">
      <c r="A26" s="16" t="s">
        <v>169</v>
      </c>
      <c r="B26" s="84" t="s">
        <v>289</v>
      </c>
      <c r="C26" s="85"/>
      <c r="D26" s="21">
        <f>76*Оглавление!H29</f>
        <v>45600</v>
      </c>
    </row>
    <row r="27" spans="1:4" ht="57" customHeight="1">
      <c r="A27" s="16" t="s">
        <v>170</v>
      </c>
      <c r="B27" s="84" t="s">
        <v>290</v>
      </c>
      <c r="C27" s="85"/>
      <c r="D27" s="21">
        <f>179*Оглавление!H29</f>
        <v>107400</v>
      </c>
    </row>
    <row r="28" spans="1:4" ht="54.6" customHeight="1">
      <c r="A28" s="16" t="s">
        <v>343</v>
      </c>
      <c r="B28" s="84" t="s">
        <v>291</v>
      </c>
      <c r="C28" s="85"/>
      <c r="D28" s="21">
        <f>96*Оглавление!H29</f>
        <v>57600</v>
      </c>
    </row>
    <row r="29" spans="1:4" ht="53.4" customHeight="1">
      <c r="A29" s="16" t="s">
        <v>344</v>
      </c>
      <c r="B29" s="84" t="s">
        <v>292</v>
      </c>
      <c r="C29" s="85"/>
      <c r="D29" s="21">
        <f>96*Оглавление!H29</f>
        <v>57600</v>
      </c>
    </row>
    <row r="30" spans="1:4" ht="55.2" customHeight="1">
      <c r="A30" s="16" t="s">
        <v>345</v>
      </c>
      <c r="B30" s="84" t="s">
        <v>293</v>
      </c>
      <c r="C30" s="85"/>
      <c r="D30" s="21">
        <f>179*Оглавление!H29</f>
        <v>107400</v>
      </c>
    </row>
    <row r="31" spans="1:4" ht="39.6" customHeight="1">
      <c r="A31" s="16" t="s">
        <v>346</v>
      </c>
      <c r="B31" s="84" t="s">
        <v>294</v>
      </c>
      <c r="C31" s="85"/>
      <c r="D31" s="21">
        <f>179*Оглавление!H29</f>
        <v>107400</v>
      </c>
    </row>
    <row r="32" spans="1:4" ht="39.6" customHeight="1">
      <c r="A32" s="16" t="s">
        <v>347</v>
      </c>
      <c r="B32" s="84" t="s">
        <v>295</v>
      </c>
      <c r="C32" s="85"/>
      <c r="D32" s="21">
        <f>86.75*Оглавление!H29</f>
        <v>52050</v>
      </c>
    </row>
    <row r="33" spans="1:4" ht="39.6" customHeight="1">
      <c r="A33" s="16" t="s">
        <v>348</v>
      </c>
      <c r="B33" s="84" t="s">
        <v>296</v>
      </c>
      <c r="C33" s="85"/>
      <c r="D33" s="21">
        <f>80*Оглавление!H29</f>
        <v>48000</v>
      </c>
    </row>
    <row r="34" spans="1:4" ht="39.6" customHeight="1">
      <c r="A34" s="16" t="s">
        <v>399</v>
      </c>
      <c r="B34" s="84" t="s">
        <v>297</v>
      </c>
      <c r="C34" s="85"/>
      <c r="D34" s="21">
        <f>113*Оглавление!H29</f>
        <v>67800</v>
      </c>
    </row>
    <row r="35" spans="1:4" ht="12.75" customHeight="1" thickBot="1"/>
    <row r="36" spans="1:4" ht="18" customHeight="1" thickBot="1">
      <c r="A36" s="80" t="s">
        <v>243</v>
      </c>
      <c r="B36" s="82"/>
      <c r="C36" s="82"/>
      <c r="D36" s="83"/>
    </row>
    <row r="37" spans="1:4" ht="57" customHeight="1">
      <c r="A37" s="16" t="s">
        <v>189</v>
      </c>
      <c r="B37" s="84" t="s">
        <v>248</v>
      </c>
      <c r="C37" s="85"/>
      <c r="D37" s="21">
        <f>227*Оглавление!H29</f>
        <v>136200</v>
      </c>
    </row>
    <row r="38" spans="1:4" ht="57" customHeight="1">
      <c r="A38" s="16" t="s">
        <v>190</v>
      </c>
      <c r="B38" s="84" t="s">
        <v>249</v>
      </c>
      <c r="C38" s="85"/>
      <c r="D38" s="21">
        <f>376*Оглавление!H29</f>
        <v>225600</v>
      </c>
    </row>
    <row r="39" spans="1:4" ht="54.6" customHeight="1">
      <c r="A39" s="16" t="s">
        <v>191</v>
      </c>
      <c r="B39" s="84" t="s">
        <v>298</v>
      </c>
      <c r="C39" s="85"/>
      <c r="D39" s="21">
        <f>290*Оглавление!H29</f>
        <v>174000</v>
      </c>
    </row>
    <row r="40" spans="1:4" ht="12.75" customHeight="1"/>
    <row r="41" spans="1:4" ht="12.75" customHeight="1"/>
    <row r="42" spans="1:4" ht="12.75" customHeight="1"/>
    <row r="43" spans="1:4" ht="12.75" customHeight="1"/>
    <row r="44" spans="1:4" ht="12.75" customHeight="1"/>
    <row r="45" spans="1:4" ht="12.75" customHeight="1"/>
    <row r="46" spans="1:4" ht="12.75" customHeight="1"/>
    <row r="47" spans="1:4" ht="12.75" customHeight="1"/>
    <row r="48" spans="1:4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</sheetData>
  <mergeCells count="34">
    <mergeCell ref="B37:C37"/>
    <mergeCell ref="B38:C38"/>
    <mergeCell ref="B39:C39"/>
    <mergeCell ref="B30:C30"/>
    <mergeCell ref="B31:C31"/>
    <mergeCell ref="B32:C32"/>
    <mergeCell ref="B33:C33"/>
    <mergeCell ref="B34:C34"/>
    <mergeCell ref="A36:D36"/>
    <mergeCell ref="B29:C29"/>
    <mergeCell ref="B16:C16"/>
    <mergeCell ref="B17:C17"/>
    <mergeCell ref="B18:C18"/>
    <mergeCell ref="A20:D20"/>
    <mergeCell ref="B21:C21"/>
    <mergeCell ref="B22:C22"/>
    <mergeCell ref="B23:C23"/>
    <mergeCell ref="A25:D25"/>
    <mergeCell ref="B26:C26"/>
    <mergeCell ref="B27:C27"/>
    <mergeCell ref="B28:C28"/>
    <mergeCell ref="B15:C15"/>
    <mergeCell ref="A2:D2"/>
    <mergeCell ref="B3:C3"/>
    <mergeCell ref="B4:C4"/>
    <mergeCell ref="B7:C7"/>
    <mergeCell ref="B8:C8"/>
    <mergeCell ref="B5:C5"/>
    <mergeCell ref="B6:C6"/>
    <mergeCell ref="A10:D10"/>
    <mergeCell ref="B11:C11"/>
    <mergeCell ref="B12:C12"/>
    <mergeCell ref="B13:C13"/>
    <mergeCell ref="B14:C14"/>
  </mergeCells>
  <pageMargins left="0.7" right="0.7" top="0.75" bottom="0.75" header="0" footer="0"/>
  <pageSetup orientation="landscape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93A18A-28C3-4AE2-A6D6-8107F4715E88}">
  <sheetPr>
    <tabColor rgb="FF0070C0"/>
  </sheetPr>
  <dimension ref="A1:D397"/>
  <sheetViews>
    <sheetView topLeftCell="A28" workbookViewId="0">
      <selection activeCell="B40" sqref="B40:C40"/>
    </sheetView>
  </sheetViews>
  <sheetFormatPr defaultColWidth="14.44140625" defaultRowHeight="15" customHeight="1"/>
  <cols>
    <col min="1" max="1" width="18.44140625" customWidth="1"/>
    <col min="2" max="2" width="19.6640625" customWidth="1"/>
    <col min="3" max="3" width="78" customWidth="1"/>
    <col min="4" max="4" width="11.44140625" customWidth="1"/>
    <col min="5" max="6" width="8.88671875" customWidth="1"/>
    <col min="7" max="26" width="8" customWidth="1"/>
  </cols>
  <sheetData>
    <row r="1" spans="1:4" ht="12.75" customHeight="1" thickBot="1"/>
    <row r="2" spans="1:4" ht="16.5" customHeight="1" thickBot="1">
      <c r="A2" s="80" t="s">
        <v>76</v>
      </c>
      <c r="B2" s="82"/>
      <c r="C2" s="82"/>
      <c r="D2" s="83"/>
    </row>
    <row r="3" spans="1:4" ht="56.4" customHeight="1">
      <c r="A3" s="16" t="s">
        <v>319</v>
      </c>
      <c r="B3" s="84" t="s">
        <v>73</v>
      </c>
      <c r="C3" s="85"/>
      <c r="D3" s="21">
        <f>91*Оглавление!H29</f>
        <v>54600</v>
      </c>
    </row>
    <row r="4" spans="1:4" ht="54" customHeight="1">
      <c r="A4" s="17" t="s">
        <v>320</v>
      </c>
      <c r="B4" s="84" t="s">
        <v>596</v>
      </c>
      <c r="C4" s="85"/>
      <c r="D4" s="21">
        <f>36.5*Оглавление!H29</f>
        <v>21900</v>
      </c>
    </row>
    <row r="5" spans="1:4" ht="27.6" customHeight="1">
      <c r="A5" s="17" t="s">
        <v>321</v>
      </c>
      <c r="B5" s="84" t="s">
        <v>74</v>
      </c>
      <c r="C5" s="85"/>
      <c r="D5" s="21">
        <f>74*Оглавление!H29</f>
        <v>44400</v>
      </c>
    </row>
    <row r="6" spans="1:4" ht="24" customHeight="1">
      <c r="A6" s="17" t="s">
        <v>322</v>
      </c>
      <c r="B6" s="84" t="s">
        <v>597</v>
      </c>
      <c r="C6" s="85"/>
      <c r="D6" s="21">
        <f>60*Оглавление!H29</f>
        <v>36000</v>
      </c>
    </row>
    <row r="7" spans="1:4" ht="12.75" customHeight="1" thickBot="1"/>
    <row r="8" spans="1:4" ht="16.5" customHeight="1" thickBot="1">
      <c r="A8" s="80" t="s">
        <v>90</v>
      </c>
      <c r="B8" s="82"/>
      <c r="C8" s="82"/>
      <c r="D8" s="83"/>
    </row>
    <row r="9" spans="1:4" ht="56.4" customHeight="1">
      <c r="A9" s="16" t="s">
        <v>319</v>
      </c>
      <c r="B9" s="84" t="s">
        <v>73</v>
      </c>
      <c r="C9" s="85"/>
      <c r="D9" s="21">
        <f>91*Оглавление!H29</f>
        <v>54600</v>
      </c>
    </row>
    <row r="10" spans="1:4" ht="54" customHeight="1">
      <c r="A10" s="17" t="s">
        <v>320</v>
      </c>
      <c r="B10" s="84" t="s">
        <v>596</v>
      </c>
      <c r="C10" s="85"/>
      <c r="D10" s="21">
        <f>36.5*Оглавление!H29</f>
        <v>21900</v>
      </c>
    </row>
    <row r="11" spans="1:4" ht="27.6" customHeight="1">
      <c r="A11" s="17" t="s">
        <v>321</v>
      </c>
      <c r="B11" s="84" t="s">
        <v>74</v>
      </c>
      <c r="C11" s="85"/>
      <c r="D11" s="21">
        <f>74*Оглавление!H29</f>
        <v>44400</v>
      </c>
    </row>
    <row r="12" spans="1:4" ht="24" customHeight="1">
      <c r="A12" s="17" t="s">
        <v>322</v>
      </c>
      <c r="B12" s="84" t="s">
        <v>597</v>
      </c>
      <c r="C12" s="85"/>
      <c r="D12" s="21">
        <f>60*Оглавление!H29</f>
        <v>36000</v>
      </c>
    </row>
    <row r="13" spans="1:4" ht="12.75" customHeight="1" thickBot="1"/>
    <row r="14" spans="1:4" ht="16.5" customHeight="1" thickBot="1">
      <c r="A14" s="80" t="s">
        <v>114</v>
      </c>
      <c r="B14" s="82"/>
      <c r="C14" s="82"/>
      <c r="D14" s="83"/>
    </row>
    <row r="15" spans="1:4" ht="56.4" customHeight="1">
      <c r="A15" s="16" t="s">
        <v>319</v>
      </c>
      <c r="B15" s="84" t="s">
        <v>73</v>
      </c>
      <c r="C15" s="85"/>
      <c r="D15" s="21">
        <f>91*Оглавление!H29</f>
        <v>54600</v>
      </c>
    </row>
    <row r="16" spans="1:4" ht="54" customHeight="1">
      <c r="A16" s="17" t="s">
        <v>320</v>
      </c>
      <c r="B16" s="84" t="s">
        <v>596</v>
      </c>
      <c r="C16" s="85"/>
      <c r="D16" s="21">
        <f>36.5*Оглавление!H29</f>
        <v>21900</v>
      </c>
    </row>
    <row r="17" spans="1:4" ht="27.6" customHeight="1">
      <c r="A17" s="17" t="s">
        <v>321</v>
      </c>
      <c r="B17" s="84" t="s">
        <v>74</v>
      </c>
      <c r="C17" s="85"/>
      <c r="D17" s="21">
        <f>74*Оглавление!H29</f>
        <v>44400</v>
      </c>
    </row>
    <row r="18" spans="1:4" ht="24" customHeight="1">
      <c r="A18" s="17" t="s">
        <v>322</v>
      </c>
      <c r="B18" s="84" t="s">
        <v>597</v>
      </c>
      <c r="C18" s="85"/>
      <c r="D18" s="21">
        <f>60*Оглавление!H29</f>
        <v>36000</v>
      </c>
    </row>
    <row r="19" spans="1:4" ht="12.75" customHeight="1" thickBot="1"/>
    <row r="20" spans="1:4" ht="16.5" customHeight="1" thickBot="1">
      <c r="A20" s="80" t="s">
        <v>167</v>
      </c>
      <c r="B20" s="82"/>
      <c r="C20" s="82"/>
      <c r="D20" s="83"/>
    </row>
    <row r="21" spans="1:4" ht="56.4" customHeight="1">
      <c r="A21" s="16" t="s">
        <v>319</v>
      </c>
      <c r="B21" s="84" t="s">
        <v>73</v>
      </c>
      <c r="C21" s="85"/>
      <c r="D21" s="21">
        <f>91*Оглавление!H29</f>
        <v>54600</v>
      </c>
    </row>
    <row r="22" spans="1:4" ht="54" customHeight="1">
      <c r="A22" s="17" t="s">
        <v>320</v>
      </c>
      <c r="B22" s="84" t="s">
        <v>596</v>
      </c>
      <c r="C22" s="85"/>
      <c r="D22" s="21">
        <f>36.5*Оглавление!H29</f>
        <v>21900</v>
      </c>
    </row>
    <row r="23" spans="1:4" ht="27.6" customHeight="1">
      <c r="A23" s="17" t="s">
        <v>321</v>
      </c>
      <c r="B23" s="84" t="s">
        <v>74</v>
      </c>
      <c r="C23" s="85"/>
      <c r="D23" s="21">
        <f>74*Оглавление!H29</f>
        <v>44400</v>
      </c>
    </row>
    <row r="24" spans="1:4" ht="24" customHeight="1">
      <c r="A24" s="17" t="s">
        <v>322</v>
      </c>
      <c r="B24" s="84" t="s">
        <v>597</v>
      </c>
      <c r="C24" s="85"/>
      <c r="D24" s="21">
        <f>60*Оглавление!H29</f>
        <v>36000</v>
      </c>
    </row>
    <row r="25" spans="1:4" ht="12.75" customHeight="1" thickBot="1"/>
    <row r="26" spans="1:4" ht="16.5" customHeight="1" thickBot="1">
      <c r="A26" s="80" t="s">
        <v>182</v>
      </c>
      <c r="B26" s="82"/>
      <c r="C26" s="82"/>
      <c r="D26" s="83"/>
    </row>
    <row r="27" spans="1:4" ht="56.4" customHeight="1">
      <c r="A27" s="16" t="s">
        <v>436</v>
      </c>
      <c r="B27" s="84" t="s">
        <v>480</v>
      </c>
      <c r="C27" s="85"/>
      <c r="D27" s="21">
        <f>104*Оглавление!H29</f>
        <v>62400</v>
      </c>
    </row>
    <row r="28" spans="1:4" ht="12.75" customHeight="1" thickBot="1"/>
    <row r="29" spans="1:4" ht="16.5" customHeight="1" thickBot="1">
      <c r="A29" s="88" t="s">
        <v>284</v>
      </c>
      <c r="B29" s="82"/>
      <c r="C29" s="82"/>
      <c r="D29" s="83"/>
    </row>
    <row r="30" spans="1:4" ht="56.4" customHeight="1">
      <c r="A30" s="16" t="s">
        <v>400</v>
      </c>
      <c r="B30" s="84" t="s">
        <v>211</v>
      </c>
      <c r="C30" s="85"/>
      <c r="D30" s="21">
        <f>87*Оглавление!H29</f>
        <v>52200</v>
      </c>
    </row>
    <row r="31" spans="1:4" ht="54" customHeight="1">
      <c r="A31" s="17" t="s">
        <v>401</v>
      </c>
      <c r="B31" s="84" t="s">
        <v>595</v>
      </c>
      <c r="C31" s="85"/>
      <c r="D31" s="21">
        <f>66.25*Оглавление!H29</f>
        <v>39750</v>
      </c>
    </row>
    <row r="32" spans="1:4" ht="27.6" customHeight="1">
      <c r="A32" s="17" t="s">
        <v>321</v>
      </c>
      <c r="B32" s="84" t="s">
        <v>285</v>
      </c>
      <c r="C32" s="85"/>
      <c r="D32" s="21">
        <f>74*Оглавление!H29</f>
        <v>44400</v>
      </c>
    </row>
    <row r="33" spans="1:4" ht="24" customHeight="1">
      <c r="A33" s="17" t="s">
        <v>322</v>
      </c>
      <c r="B33" s="84" t="s">
        <v>600</v>
      </c>
      <c r="C33" s="85"/>
      <c r="D33" s="21">
        <f>60*Оглавление!H29</f>
        <v>36000</v>
      </c>
    </row>
    <row r="34" spans="1:4" ht="24" customHeight="1">
      <c r="A34" s="18" t="s">
        <v>402</v>
      </c>
      <c r="B34" s="84" t="s">
        <v>598</v>
      </c>
      <c r="C34" s="85"/>
      <c r="D34" s="21">
        <f>41*Оглавление!H29</f>
        <v>24600</v>
      </c>
    </row>
    <row r="35" spans="1:4" ht="12.75" customHeight="1" thickBot="1"/>
    <row r="36" spans="1:4" ht="16.5" customHeight="1" thickBot="1">
      <c r="A36" s="80" t="s">
        <v>244</v>
      </c>
      <c r="B36" s="82"/>
      <c r="C36" s="82"/>
      <c r="D36" s="83"/>
    </row>
    <row r="37" spans="1:4" ht="54" customHeight="1">
      <c r="A37" s="17" t="s">
        <v>401</v>
      </c>
      <c r="B37" s="84" t="s">
        <v>595</v>
      </c>
      <c r="C37" s="85"/>
      <c r="D37" s="21">
        <f>66.25*Оглавление!H29</f>
        <v>39750</v>
      </c>
    </row>
    <row r="38" spans="1:4" ht="27.6" customHeight="1">
      <c r="A38" s="17" t="s">
        <v>321</v>
      </c>
      <c r="B38" s="84" t="s">
        <v>74</v>
      </c>
      <c r="C38" s="85"/>
      <c r="D38" s="21">
        <f>74*Оглавление!H29</f>
        <v>44400</v>
      </c>
    </row>
    <row r="39" spans="1:4" ht="24" customHeight="1">
      <c r="A39" s="17" t="s">
        <v>322</v>
      </c>
      <c r="B39" s="84" t="s">
        <v>597</v>
      </c>
      <c r="C39" s="85"/>
      <c r="D39" s="21">
        <f>60*Оглавление!H29</f>
        <v>36000</v>
      </c>
    </row>
    <row r="40" spans="1:4" ht="24" customHeight="1">
      <c r="A40" s="17" t="s">
        <v>436</v>
      </c>
      <c r="B40" s="84" t="s">
        <v>252</v>
      </c>
      <c r="C40" s="85"/>
      <c r="D40" s="21">
        <f>104*Оглавление!H29</f>
        <v>62400</v>
      </c>
    </row>
    <row r="41" spans="1:4" ht="12.75" customHeight="1"/>
    <row r="42" spans="1:4" ht="12.75" customHeight="1"/>
    <row r="43" spans="1:4" ht="12.75" customHeight="1"/>
    <row r="44" spans="1:4" ht="12.75" customHeight="1"/>
    <row r="45" spans="1:4" ht="12.75" customHeight="1"/>
    <row r="46" spans="1:4" ht="12.75" customHeight="1"/>
    <row r="47" spans="1:4" ht="12.75" customHeight="1"/>
    <row r="48" spans="1:4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</sheetData>
  <mergeCells count="33">
    <mergeCell ref="B40:C40"/>
    <mergeCell ref="B32:C32"/>
    <mergeCell ref="B33:C33"/>
    <mergeCell ref="A36:D36"/>
    <mergeCell ref="B37:C37"/>
    <mergeCell ref="B38:C38"/>
    <mergeCell ref="B39:C39"/>
    <mergeCell ref="B34:C34"/>
    <mergeCell ref="A8:D8"/>
    <mergeCell ref="B9:C9"/>
    <mergeCell ref="B10:C10"/>
    <mergeCell ref="A14:D14"/>
    <mergeCell ref="B24:C24"/>
    <mergeCell ref="B22:C22"/>
    <mergeCell ref="B23:C23"/>
    <mergeCell ref="B15:C15"/>
    <mergeCell ref="B16:C16"/>
    <mergeCell ref="B17:C17"/>
    <mergeCell ref="B18:C18"/>
    <mergeCell ref="A20:D20"/>
    <mergeCell ref="B21:C21"/>
    <mergeCell ref="B11:C11"/>
    <mergeCell ref="B12:C12"/>
    <mergeCell ref="A26:D26"/>
    <mergeCell ref="B30:C30"/>
    <mergeCell ref="B31:C31"/>
    <mergeCell ref="A29:D29"/>
    <mergeCell ref="B27:C27"/>
    <mergeCell ref="A2:D2"/>
    <mergeCell ref="B3:C3"/>
    <mergeCell ref="B4:C4"/>
    <mergeCell ref="B5:C5"/>
    <mergeCell ref="B6:C6"/>
  </mergeCells>
  <pageMargins left="0.7" right="0.7" top="0.75" bottom="0.75" header="0" footer="0"/>
  <pageSetup orientation="landscape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93C254-A011-4230-BEAA-537691E4E0AC}">
  <sheetPr>
    <tabColor rgb="FF00C032"/>
  </sheetPr>
  <dimension ref="A1:D345"/>
  <sheetViews>
    <sheetView topLeftCell="A5" workbookViewId="0">
      <selection activeCell="A20" sqref="A20:D20"/>
    </sheetView>
  </sheetViews>
  <sheetFormatPr defaultColWidth="14.44140625" defaultRowHeight="15" customHeight="1"/>
  <cols>
    <col min="1" max="1" width="18.44140625" customWidth="1"/>
    <col min="2" max="2" width="19.6640625" customWidth="1"/>
    <col min="3" max="3" width="78" customWidth="1"/>
    <col min="4" max="4" width="11.44140625" customWidth="1"/>
    <col min="5" max="6" width="8.88671875" customWidth="1"/>
    <col min="7" max="26" width="8" customWidth="1"/>
  </cols>
  <sheetData>
    <row r="1" spans="1:4" ht="12.75" customHeight="1" thickBot="1"/>
    <row r="2" spans="1:4" ht="12.75" customHeight="1" thickBot="1">
      <c r="A2" s="88" t="s">
        <v>271</v>
      </c>
      <c r="B2" s="82"/>
      <c r="C2" s="82"/>
      <c r="D2" s="83"/>
    </row>
    <row r="3" spans="1:4" ht="57" customHeight="1">
      <c r="A3" s="16" t="s">
        <v>324</v>
      </c>
      <c r="B3" s="84" t="s">
        <v>79</v>
      </c>
      <c r="C3" s="85"/>
      <c r="D3" s="21">
        <f>252*Оглавление!H29</f>
        <v>151200</v>
      </c>
    </row>
    <row r="4" spans="1:4" ht="58.2" customHeight="1">
      <c r="A4" s="24" t="s">
        <v>325</v>
      </c>
      <c r="B4" s="84" t="s">
        <v>80</v>
      </c>
      <c r="C4" s="85"/>
      <c r="D4" s="21">
        <f>252*Оглавление!H29</f>
        <v>151200</v>
      </c>
    </row>
    <row r="5" spans="1:4" ht="12.75" customHeight="1">
      <c r="A5" s="24" t="s">
        <v>326</v>
      </c>
      <c r="B5" s="84" t="s">
        <v>81</v>
      </c>
      <c r="C5" s="85"/>
      <c r="D5" s="21">
        <f>151.25*Оглавление!H29</f>
        <v>90750</v>
      </c>
    </row>
    <row r="6" spans="1:4" ht="12.75" customHeight="1">
      <c r="A6" s="24" t="s">
        <v>327</v>
      </c>
      <c r="B6" s="84" t="s">
        <v>82</v>
      </c>
      <c r="C6" s="85"/>
      <c r="D6" s="21">
        <f>83*Оглавление!H29</f>
        <v>49800</v>
      </c>
    </row>
    <row r="7" spans="1:4" ht="12.75" customHeight="1">
      <c r="A7" s="24" t="s">
        <v>328</v>
      </c>
      <c r="B7" s="84" t="s">
        <v>83</v>
      </c>
      <c r="C7" s="85"/>
      <c r="D7" s="21">
        <f>155*Оглавление!H29</f>
        <v>93000</v>
      </c>
    </row>
    <row r="8" spans="1:4" ht="12.75" customHeight="1">
      <c r="A8" s="24" t="s">
        <v>329</v>
      </c>
      <c r="B8" s="84" t="s">
        <v>84</v>
      </c>
      <c r="C8" s="85"/>
      <c r="D8" s="21">
        <f>131.25*Оглавление!H29</f>
        <v>78750</v>
      </c>
    </row>
    <row r="9" spans="1:4" ht="12.75" customHeight="1">
      <c r="A9" s="24" t="s">
        <v>330</v>
      </c>
      <c r="B9" s="84" t="s">
        <v>85</v>
      </c>
      <c r="C9" s="85"/>
      <c r="D9" s="21">
        <f>190*Оглавление!H29</f>
        <v>114000</v>
      </c>
    </row>
    <row r="10" spans="1:4" ht="21.6" customHeight="1">
      <c r="A10" s="16" t="s">
        <v>331</v>
      </c>
      <c r="B10" s="84" t="s">
        <v>86</v>
      </c>
      <c r="C10" s="85"/>
      <c r="D10" s="21">
        <f>227*Оглавление!H29</f>
        <v>136200</v>
      </c>
    </row>
    <row r="11" spans="1:4" ht="12.75" customHeight="1"/>
    <row r="12" spans="1:4" ht="12.75" customHeight="1" thickBot="1"/>
    <row r="13" spans="1:4" ht="12.75" customHeight="1" thickBot="1">
      <c r="A13" s="88" t="s">
        <v>183</v>
      </c>
      <c r="B13" s="82"/>
      <c r="C13" s="82"/>
      <c r="D13" s="83"/>
    </row>
    <row r="14" spans="1:4" ht="12.75" customHeight="1">
      <c r="A14" s="24" t="s">
        <v>327</v>
      </c>
      <c r="B14" s="84" t="s">
        <v>82</v>
      </c>
      <c r="C14" s="85"/>
      <c r="D14" s="21">
        <f>83*Оглавление!H29</f>
        <v>49800</v>
      </c>
    </row>
    <row r="15" spans="1:4" ht="12.75" customHeight="1">
      <c r="A15" s="24" t="s">
        <v>328</v>
      </c>
      <c r="B15" s="84" t="s">
        <v>83</v>
      </c>
      <c r="C15" s="85"/>
      <c r="D15" s="21">
        <f>155*Оглавление!H29</f>
        <v>93000</v>
      </c>
    </row>
    <row r="16" spans="1:4" ht="12.75" customHeight="1">
      <c r="A16" s="24" t="s">
        <v>329</v>
      </c>
      <c r="B16" s="84" t="s">
        <v>84</v>
      </c>
      <c r="C16" s="85"/>
      <c r="D16" s="21">
        <f>131.25*Оглавление!H29</f>
        <v>78750</v>
      </c>
    </row>
    <row r="17" spans="1:4" ht="12.75" customHeight="1">
      <c r="A17" s="24" t="s">
        <v>330</v>
      </c>
      <c r="B17" s="84" t="s">
        <v>85</v>
      </c>
      <c r="C17" s="85"/>
      <c r="D17" s="21">
        <f>190*Оглавление!H29</f>
        <v>114000</v>
      </c>
    </row>
    <row r="18" spans="1:4" ht="21.6" customHeight="1">
      <c r="A18" s="16" t="s">
        <v>331</v>
      </c>
      <c r="B18" s="84" t="s">
        <v>86</v>
      </c>
      <c r="C18" s="85"/>
      <c r="D18" s="21">
        <f>227*Оглавление!H29</f>
        <v>136200</v>
      </c>
    </row>
    <row r="19" spans="1:4" ht="12.75" customHeight="1" thickBot="1"/>
    <row r="20" spans="1:4" ht="12.75" customHeight="1" thickBot="1">
      <c r="A20" s="88" t="s">
        <v>299</v>
      </c>
      <c r="B20" s="82"/>
      <c r="C20" s="82"/>
      <c r="D20" s="83"/>
    </row>
    <row r="21" spans="1:4" ht="12.75" customHeight="1">
      <c r="A21" s="24" t="s">
        <v>330</v>
      </c>
      <c r="B21" s="84" t="s">
        <v>85</v>
      </c>
      <c r="C21" s="85"/>
      <c r="D21" s="21">
        <f>190*Оглавление!H29</f>
        <v>114000</v>
      </c>
    </row>
    <row r="22" spans="1:4" ht="21.6" customHeight="1">
      <c r="A22" s="16" t="s">
        <v>331</v>
      </c>
      <c r="B22" s="84" t="s">
        <v>86</v>
      </c>
      <c r="C22" s="85"/>
      <c r="D22" s="21">
        <f>227*Оглавление!H29</f>
        <v>136200</v>
      </c>
    </row>
    <row r="23" spans="1:4" ht="49.95" customHeight="1">
      <c r="A23" s="16" t="s">
        <v>404</v>
      </c>
      <c r="B23" s="84" t="s">
        <v>212</v>
      </c>
      <c r="C23" s="85"/>
      <c r="D23" s="21">
        <f>1053.25*Оглавление!H29</f>
        <v>631950</v>
      </c>
    </row>
    <row r="24" spans="1:4" ht="12.75" customHeight="1"/>
    <row r="25" spans="1:4" ht="12.75" customHeight="1"/>
    <row r="26" spans="1:4" ht="12.75" customHeight="1"/>
    <row r="27" spans="1:4" ht="12.75" customHeight="1"/>
    <row r="28" spans="1:4" ht="12.75" customHeight="1"/>
    <row r="29" spans="1:4" ht="12.75" customHeight="1"/>
    <row r="30" spans="1:4" ht="12.75" customHeight="1"/>
    <row r="31" spans="1:4" ht="12.75" customHeight="1"/>
    <row r="32" spans="1:4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</sheetData>
  <mergeCells count="19">
    <mergeCell ref="A2:D2"/>
    <mergeCell ref="B3:C3"/>
    <mergeCell ref="B4:C4"/>
    <mergeCell ref="B5:C5"/>
    <mergeCell ref="B6:C6"/>
    <mergeCell ref="B23:C23"/>
    <mergeCell ref="B14:C14"/>
    <mergeCell ref="B15:C15"/>
    <mergeCell ref="B18:C18"/>
    <mergeCell ref="B7:C7"/>
    <mergeCell ref="B8:C8"/>
    <mergeCell ref="B9:C9"/>
    <mergeCell ref="B10:C10"/>
    <mergeCell ref="A20:D20"/>
    <mergeCell ref="B21:C21"/>
    <mergeCell ref="B22:C22"/>
    <mergeCell ref="A13:D13"/>
    <mergeCell ref="B16:C16"/>
    <mergeCell ref="B17:C17"/>
  </mergeCells>
  <pageMargins left="0.7" right="0.7" top="0.75" bottom="0.75" header="0" footer="0"/>
  <pageSetup orientation="landscape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7ACFE-C9B8-4D65-92EA-7BD6398449D0}">
  <sheetPr>
    <tabColor rgb="FFFF6600"/>
  </sheetPr>
  <dimension ref="A1:T954"/>
  <sheetViews>
    <sheetView topLeftCell="A223" workbookViewId="0">
      <selection activeCell="D237" sqref="D237"/>
    </sheetView>
  </sheetViews>
  <sheetFormatPr defaultColWidth="14.44140625" defaultRowHeight="15" customHeight="1"/>
  <cols>
    <col min="1" max="1" width="18.44140625" customWidth="1"/>
    <col min="2" max="2" width="21.44140625" customWidth="1"/>
    <col min="3" max="3" width="19.6640625" customWidth="1"/>
    <col min="4" max="4" width="78" customWidth="1"/>
    <col min="5" max="5" width="11.44140625" customWidth="1"/>
    <col min="6" max="20" width="8" customWidth="1"/>
  </cols>
  <sheetData>
    <row r="1" spans="1:5" ht="12.75" customHeight="1" thickBot="1">
      <c r="A1" s="96"/>
      <c r="B1" s="96"/>
      <c r="C1" s="71"/>
      <c r="D1" s="71"/>
      <c r="E1" s="71"/>
    </row>
    <row r="2" spans="1:5" ht="20.25" customHeight="1" thickBot="1">
      <c r="A2" s="19" t="s">
        <v>12</v>
      </c>
      <c r="B2" s="45" t="s">
        <v>503</v>
      </c>
      <c r="C2" s="97" t="s">
        <v>502</v>
      </c>
      <c r="D2" s="98"/>
      <c r="E2" s="20" t="s">
        <v>44</v>
      </c>
    </row>
    <row r="3" spans="1:5" ht="55.95" customHeight="1" thickBot="1">
      <c r="A3" s="25" t="s">
        <v>301</v>
      </c>
      <c r="B3" s="49" t="s">
        <v>504</v>
      </c>
      <c r="C3" s="92" t="s">
        <v>590</v>
      </c>
      <c r="D3" s="91"/>
      <c r="E3" s="14">
        <f>2448*Оглавление!H29</f>
        <v>1468800</v>
      </c>
    </row>
    <row r="4" spans="1:5" ht="57.6" customHeight="1" thickBot="1">
      <c r="A4" s="26" t="s">
        <v>302</v>
      </c>
      <c r="B4" s="50" t="s">
        <v>505</v>
      </c>
      <c r="C4" s="94" t="s">
        <v>506</v>
      </c>
      <c r="D4" s="101"/>
      <c r="E4" s="15">
        <f>3210*Оглавление!H29</f>
        <v>1926000</v>
      </c>
    </row>
    <row r="5" spans="1:5" ht="22.2" customHeight="1" thickBot="1">
      <c r="A5" s="25" t="s">
        <v>303</v>
      </c>
      <c r="B5" s="49" t="s">
        <v>507</v>
      </c>
      <c r="C5" s="90" t="s">
        <v>48</v>
      </c>
      <c r="D5" s="91"/>
      <c r="E5" s="14">
        <f>3385*Оглавление!H29</f>
        <v>2031000</v>
      </c>
    </row>
    <row r="6" spans="1:5" ht="22.2" customHeight="1" thickBot="1">
      <c r="A6" s="25" t="s">
        <v>304</v>
      </c>
      <c r="B6" s="49" t="s">
        <v>508</v>
      </c>
      <c r="C6" s="92" t="s">
        <v>45</v>
      </c>
      <c r="D6" s="93"/>
      <c r="E6" s="14">
        <f>3035*Оглавление!H29</f>
        <v>1821000</v>
      </c>
    </row>
    <row r="7" spans="1:5" ht="22.2" customHeight="1" thickBot="1">
      <c r="A7" s="25" t="s">
        <v>305</v>
      </c>
      <c r="B7" s="49" t="s">
        <v>513</v>
      </c>
      <c r="C7" s="92" t="s">
        <v>47</v>
      </c>
      <c r="D7" s="93"/>
      <c r="E7" s="14">
        <f>3735*Оглавление!H29</f>
        <v>2241000</v>
      </c>
    </row>
    <row r="8" spans="1:5" ht="22.2" customHeight="1" thickBot="1">
      <c r="A8" s="26" t="s">
        <v>306</v>
      </c>
      <c r="B8" s="46" t="s">
        <v>509</v>
      </c>
      <c r="C8" s="94" t="s">
        <v>49</v>
      </c>
      <c r="D8" s="95"/>
      <c r="E8" s="15">
        <f>4140*Оглавление!H29</f>
        <v>2484000</v>
      </c>
    </row>
    <row r="9" spans="1:5" ht="22.2" customHeight="1" thickBot="1">
      <c r="A9" s="26" t="s">
        <v>307</v>
      </c>
      <c r="B9" s="46" t="s">
        <v>510</v>
      </c>
      <c r="C9" s="94" t="s">
        <v>46</v>
      </c>
      <c r="D9" s="95"/>
      <c r="E9" s="15">
        <f>3790*Оглавление!H29</f>
        <v>2274000</v>
      </c>
    </row>
    <row r="10" spans="1:5" ht="22.2" customHeight="1" thickBot="1">
      <c r="A10" s="26" t="s">
        <v>308</v>
      </c>
      <c r="B10" s="46" t="s">
        <v>511</v>
      </c>
      <c r="C10" s="94" t="s">
        <v>50</v>
      </c>
      <c r="D10" s="95"/>
      <c r="E10" s="15">
        <f>4490*Оглавление!H29</f>
        <v>2694000</v>
      </c>
    </row>
    <row r="11" spans="1:5" ht="55.95" customHeight="1" thickBot="1">
      <c r="A11" s="25" t="s">
        <v>332</v>
      </c>
      <c r="B11" s="49" t="s">
        <v>514</v>
      </c>
      <c r="C11" s="115" t="s">
        <v>92</v>
      </c>
      <c r="D11" s="116"/>
      <c r="E11" s="14">
        <f>2627.38*Оглавление!H29</f>
        <v>1576428</v>
      </c>
    </row>
    <row r="12" spans="1:5" ht="57.6" customHeight="1" thickBot="1">
      <c r="A12" s="26" t="s">
        <v>333</v>
      </c>
      <c r="B12" s="54" t="s">
        <v>515</v>
      </c>
      <c r="C12" s="117" t="s">
        <v>93</v>
      </c>
      <c r="D12" s="118"/>
      <c r="E12" s="15">
        <f>3371.2*Оглавление!H29</f>
        <v>2022720</v>
      </c>
    </row>
    <row r="13" spans="1:5" ht="54.6" customHeight="1" thickBot="1">
      <c r="A13" s="25" t="s">
        <v>334</v>
      </c>
      <c r="B13" s="49" t="s">
        <v>516</v>
      </c>
      <c r="C13" s="90" t="s">
        <v>94</v>
      </c>
      <c r="D13" s="91"/>
      <c r="E13" s="14">
        <f>3317.3*Оглавление!H29</f>
        <v>1990380</v>
      </c>
    </row>
    <row r="14" spans="1:5" ht="51" customHeight="1" thickBot="1">
      <c r="A14" s="26" t="s">
        <v>335</v>
      </c>
      <c r="B14" s="54" t="s">
        <v>517</v>
      </c>
      <c r="C14" s="94" t="s">
        <v>95</v>
      </c>
      <c r="D14" s="95"/>
      <c r="E14" s="15">
        <f>4057.2*Оглавление!H29</f>
        <v>2434320</v>
      </c>
    </row>
    <row r="15" spans="1:5" ht="79.2" customHeight="1" thickBot="1">
      <c r="A15" s="26" t="s">
        <v>336</v>
      </c>
      <c r="B15" s="54" t="s">
        <v>518</v>
      </c>
      <c r="C15" s="94" t="s">
        <v>91</v>
      </c>
      <c r="D15" s="95"/>
      <c r="E15" s="15">
        <f>6227.9*Оглавление!H29</f>
        <v>3736740</v>
      </c>
    </row>
    <row r="16" spans="1:5" ht="49.2" customHeight="1" thickBot="1">
      <c r="A16" s="26" t="s">
        <v>337</v>
      </c>
      <c r="B16" s="54" t="s">
        <v>520</v>
      </c>
      <c r="C16" s="94" t="s">
        <v>96</v>
      </c>
      <c r="D16" s="95"/>
      <c r="E16" s="15">
        <f>6913.9*Оглавление!H29</f>
        <v>4148340</v>
      </c>
    </row>
    <row r="17" spans="1:5" ht="22.2" customHeight="1" thickBot="1">
      <c r="A17" s="27" t="s">
        <v>338</v>
      </c>
      <c r="B17" s="55" t="s">
        <v>519</v>
      </c>
      <c r="C17" s="113" t="s">
        <v>481</v>
      </c>
      <c r="D17" s="114"/>
      <c r="E17" s="28">
        <f>743.82*Оглавление!H29</f>
        <v>446292.00000000006</v>
      </c>
    </row>
    <row r="18" spans="1:5" ht="55.95" customHeight="1" thickBot="1">
      <c r="A18" s="25" t="s">
        <v>349</v>
      </c>
      <c r="B18" s="49" t="s">
        <v>524</v>
      </c>
      <c r="C18" s="115" t="s">
        <v>117</v>
      </c>
      <c r="D18" s="116"/>
      <c r="E18" s="14">
        <f>3430*Оглавление!H29</f>
        <v>2058000</v>
      </c>
    </row>
    <row r="19" spans="1:5" ht="57.6" customHeight="1" thickBot="1">
      <c r="A19" s="26" t="s">
        <v>350</v>
      </c>
      <c r="B19" s="54" t="s">
        <v>523</v>
      </c>
      <c r="C19" s="117" t="s">
        <v>118</v>
      </c>
      <c r="D19" s="95"/>
      <c r="E19" s="15">
        <f>4630.5*Оглавление!H29</f>
        <v>2778300</v>
      </c>
    </row>
    <row r="20" spans="1:5" ht="57.6" customHeight="1" thickBot="1">
      <c r="A20" s="26" t="s">
        <v>461</v>
      </c>
      <c r="B20" s="54" t="s">
        <v>522</v>
      </c>
      <c r="C20" s="117" t="s">
        <v>483</v>
      </c>
      <c r="D20" s="95"/>
      <c r="E20" s="15">
        <f>5541.9*Оглавление!H29</f>
        <v>3325140</v>
      </c>
    </row>
    <row r="21" spans="1:5" ht="27.75" customHeight="1" thickBot="1">
      <c r="A21" s="25" t="s">
        <v>351</v>
      </c>
      <c r="B21" s="49" t="s">
        <v>525</v>
      </c>
      <c r="C21" s="92" t="s">
        <v>119</v>
      </c>
      <c r="D21" s="93"/>
      <c r="E21" s="14">
        <f>4116*Оглавление!H29</f>
        <v>2469600</v>
      </c>
    </row>
    <row r="22" spans="1:5" ht="58.95" customHeight="1" thickBot="1">
      <c r="A22" s="25" t="s">
        <v>352</v>
      </c>
      <c r="B22" s="49" t="s">
        <v>538</v>
      </c>
      <c r="C22" s="92" t="s">
        <v>120</v>
      </c>
      <c r="D22" s="93"/>
      <c r="E22" s="14">
        <f>4459*Оглавление!H29</f>
        <v>2675400</v>
      </c>
    </row>
    <row r="23" spans="1:5" ht="22.2" customHeight="1" thickBot="1">
      <c r="A23" s="26" t="s">
        <v>353</v>
      </c>
      <c r="B23" s="54" t="s">
        <v>526</v>
      </c>
      <c r="C23" s="94" t="s">
        <v>121</v>
      </c>
      <c r="D23" s="95"/>
      <c r="E23" s="15">
        <f>5541.9*Оглавление!H29</f>
        <v>3325140</v>
      </c>
    </row>
    <row r="24" spans="1:5" ht="49.95" customHeight="1" thickBot="1">
      <c r="A24" s="25" t="s">
        <v>355</v>
      </c>
      <c r="B24" s="49" t="s">
        <v>527</v>
      </c>
      <c r="C24" s="115" t="s">
        <v>133</v>
      </c>
      <c r="D24" s="116"/>
      <c r="E24" s="14">
        <f>3773*Оглавление!H29</f>
        <v>2263800</v>
      </c>
    </row>
    <row r="25" spans="1:5" ht="57.6" customHeight="1" thickBot="1">
      <c r="A25" s="26" t="s">
        <v>356</v>
      </c>
      <c r="B25" s="54" t="s">
        <v>529</v>
      </c>
      <c r="C25" s="117" t="s">
        <v>134</v>
      </c>
      <c r="D25" s="95"/>
      <c r="E25" s="15">
        <f>4973.5*Оглавление!H29</f>
        <v>2984100</v>
      </c>
    </row>
    <row r="26" spans="1:5" ht="57.6" customHeight="1" thickBot="1">
      <c r="A26" s="26" t="s">
        <v>460</v>
      </c>
      <c r="B26" s="54" t="s">
        <v>528</v>
      </c>
      <c r="C26" s="117" t="s">
        <v>484</v>
      </c>
      <c r="D26" s="95"/>
      <c r="E26" s="15">
        <f>7830.2*Оглавление!H29</f>
        <v>4698120</v>
      </c>
    </row>
    <row r="27" spans="1:5" ht="25.95" customHeight="1" thickBot="1">
      <c r="A27" s="25" t="s">
        <v>357</v>
      </c>
      <c r="B27" s="49" t="s">
        <v>530</v>
      </c>
      <c r="C27" s="92" t="s">
        <v>135</v>
      </c>
      <c r="D27" s="93"/>
      <c r="E27" s="14">
        <f>4684.4*Оглавление!H29</f>
        <v>2810640</v>
      </c>
    </row>
    <row r="28" spans="1:5" ht="18.600000000000001" customHeight="1" thickBot="1">
      <c r="A28" s="25" t="s">
        <v>358</v>
      </c>
      <c r="B28" s="49" t="s">
        <v>531</v>
      </c>
      <c r="C28" s="92" t="s">
        <v>136</v>
      </c>
      <c r="D28" s="93"/>
      <c r="E28" s="14">
        <f>4116*Оглавление!H29</f>
        <v>2469600</v>
      </c>
    </row>
    <row r="29" spans="1:5" ht="28.2" customHeight="1" thickBot="1">
      <c r="A29" s="25" t="s">
        <v>359</v>
      </c>
      <c r="B29" s="49" t="s">
        <v>532</v>
      </c>
      <c r="C29" s="92" t="s">
        <v>137</v>
      </c>
      <c r="D29" s="93"/>
      <c r="E29" s="14">
        <f>4802*Оглавление!H29</f>
        <v>2881200</v>
      </c>
    </row>
    <row r="30" spans="1:5" ht="18.600000000000001" customHeight="1" thickBot="1">
      <c r="A30" s="25" t="s">
        <v>360</v>
      </c>
      <c r="B30" s="49" t="s">
        <v>533</v>
      </c>
      <c r="C30" s="92" t="s">
        <v>138</v>
      </c>
      <c r="D30" s="93"/>
      <c r="E30" s="14">
        <f>4684.4*Оглавление!H29</f>
        <v>2810640</v>
      </c>
    </row>
    <row r="31" spans="1:5" ht="28.2" customHeight="1" thickBot="1">
      <c r="A31" s="25" t="s">
        <v>361</v>
      </c>
      <c r="B31" s="49" t="s">
        <v>534</v>
      </c>
      <c r="C31" s="92" t="s">
        <v>139</v>
      </c>
      <c r="D31" s="93"/>
      <c r="E31" s="14">
        <f>5370.4*Оглавление!H29</f>
        <v>3222240</v>
      </c>
    </row>
    <row r="32" spans="1:5" ht="13.95" customHeight="1" thickBot="1">
      <c r="A32" s="25" t="s">
        <v>362</v>
      </c>
      <c r="B32" s="49" t="s">
        <v>535</v>
      </c>
      <c r="C32" s="92" t="s">
        <v>140</v>
      </c>
      <c r="D32" s="93"/>
      <c r="E32" s="14">
        <f>4802*Оглавление!H29</f>
        <v>2881200</v>
      </c>
    </row>
    <row r="33" spans="1:5" ht="28.2" customHeight="1" thickBot="1">
      <c r="A33" s="25" t="s">
        <v>363</v>
      </c>
      <c r="B33" s="49" t="s">
        <v>536</v>
      </c>
      <c r="C33" s="92" t="s">
        <v>141</v>
      </c>
      <c r="D33" s="93"/>
      <c r="E33" s="14">
        <f>5488*Оглавление!H29</f>
        <v>3292800</v>
      </c>
    </row>
    <row r="34" spans="1:5" ht="51.6" customHeight="1" thickBot="1">
      <c r="A34" s="25" t="s">
        <v>364</v>
      </c>
      <c r="B34" s="49" t="s">
        <v>537</v>
      </c>
      <c r="C34" s="92" t="s">
        <v>143</v>
      </c>
      <c r="D34" s="93"/>
      <c r="E34" s="14">
        <f>4684.4*Оглавление!H29</f>
        <v>2810640</v>
      </c>
    </row>
    <row r="35" spans="1:5" ht="22.2" customHeight="1" thickBot="1">
      <c r="A35" s="26" t="s">
        <v>365</v>
      </c>
      <c r="B35" s="26" t="s">
        <v>539</v>
      </c>
      <c r="C35" s="124" t="s">
        <v>142</v>
      </c>
      <c r="D35" s="125"/>
      <c r="E35" s="15">
        <f>5884.9*Оглавление!H29</f>
        <v>3530940</v>
      </c>
    </row>
    <row r="36" spans="1:5" ht="22.2" customHeight="1" thickBot="1">
      <c r="A36" s="26" t="s">
        <v>366</v>
      </c>
      <c r="B36" s="26" t="s">
        <v>540</v>
      </c>
      <c r="C36" s="124" t="s">
        <v>144</v>
      </c>
      <c r="D36" s="125"/>
      <c r="E36" s="15">
        <f>5316.5*Оглавление!H29</f>
        <v>3189900</v>
      </c>
    </row>
    <row r="37" spans="1:5" ht="22.2" customHeight="1" thickBot="1">
      <c r="A37" s="26" t="s">
        <v>367</v>
      </c>
      <c r="B37" s="26" t="s">
        <v>541</v>
      </c>
      <c r="C37" s="124" t="s">
        <v>145</v>
      </c>
      <c r="D37" s="125"/>
      <c r="E37" s="15">
        <f>6002.5*Оглавление!H29</f>
        <v>3601500</v>
      </c>
    </row>
    <row r="38" spans="1:5" ht="22.2" customHeight="1" thickBot="1">
      <c r="A38" s="26" t="s">
        <v>368</v>
      </c>
      <c r="B38" s="26" t="s">
        <v>542</v>
      </c>
      <c r="C38" s="124" t="s">
        <v>146</v>
      </c>
      <c r="D38" s="125"/>
      <c r="E38" s="15">
        <f>5884.9*Оглавление!H29</f>
        <v>3530940</v>
      </c>
    </row>
    <row r="39" spans="1:5" ht="22.2" customHeight="1" thickBot="1">
      <c r="A39" s="26" t="s">
        <v>369</v>
      </c>
      <c r="B39" s="26" t="s">
        <v>544</v>
      </c>
      <c r="C39" s="124" t="s">
        <v>543</v>
      </c>
      <c r="D39" s="125"/>
      <c r="E39" s="15">
        <f>6570.9*Оглавление!H29</f>
        <v>3942540</v>
      </c>
    </row>
    <row r="40" spans="1:5" ht="22.2" customHeight="1" thickBot="1">
      <c r="A40" s="26" t="s">
        <v>370</v>
      </c>
      <c r="B40" s="26" t="s">
        <v>545</v>
      </c>
      <c r="C40" s="124" t="s">
        <v>147</v>
      </c>
      <c r="D40" s="125"/>
      <c r="E40" s="15">
        <f>6002.5*Оглавление!H29</f>
        <v>3601500</v>
      </c>
    </row>
    <row r="41" spans="1:5" ht="22.2" customHeight="1" thickBot="1">
      <c r="A41" s="26" t="s">
        <v>371</v>
      </c>
      <c r="B41" s="26" t="s">
        <v>546</v>
      </c>
      <c r="C41" s="124" t="s">
        <v>148</v>
      </c>
      <c r="D41" s="125"/>
      <c r="E41" s="15">
        <f>6683.6*Оглавление!H29</f>
        <v>4010160</v>
      </c>
    </row>
    <row r="42" spans="1:5" ht="22.2" customHeight="1" thickBot="1">
      <c r="A42" s="26" t="s">
        <v>372</v>
      </c>
      <c r="B42" s="26" t="s">
        <v>548</v>
      </c>
      <c r="C42" s="124" t="s">
        <v>149</v>
      </c>
      <c r="D42" s="125"/>
      <c r="E42" s="15">
        <f>7541.1*Оглавление!H29</f>
        <v>4524660</v>
      </c>
    </row>
    <row r="43" spans="1:5" ht="22.2" customHeight="1" thickBot="1">
      <c r="A43" s="26" t="s">
        <v>373</v>
      </c>
      <c r="B43" s="26" t="s">
        <v>547</v>
      </c>
      <c r="C43" s="124" t="s">
        <v>150</v>
      </c>
      <c r="D43" s="125"/>
      <c r="E43" s="15">
        <f>7085.4*Оглавление!H29</f>
        <v>4251240</v>
      </c>
    </row>
    <row r="44" spans="1:5" ht="22.2" customHeight="1" thickBot="1">
      <c r="A44" s="26" t="s">
        <v>374</v>
      </c>
      <c r="B44" s="26" t="s">
        <v>548</v>
      </c>
      <c r="C44" s="124" t="s">
        <v>151</v>
      </c>
      <c r="D44" s="125"/>
      <c r="E44" s="15">
        <f>7771.4*Оглавление!H29</f>
        <v>4662840</v>
      </c>
    </row>
    <row r="45" spans="1:5" ht="22.2" customHeight="1" thickBot="1">
      <c r="A45" s="26" t="s">
        <v>375</v>
      </c>
      <c r="B45" s="26" t="s">
        <v>549</v>
      </c>
      <c r="C45" s="124" t="s">
        <v>152</v>
      </c>
      <c r="D45" s="125"/>
      <c r="E45" s="15">
        <f>8741.6*Оглавление!H29</f>
        <v>5244960</v>
      </c>
    </row>
    <row r="46" spans="1:5" ht="22.2" customHeight="1" thickBot="1">
      <c r="A46" s="26" t="s">
        <v>376</v>
      </c>
      <c r="B46" s="26" t="s">
        <v>550</v>
      </c>
      <c r="C46" s="124" t="s">
        <v>153</v>
      </c>
      <c r="D46" s="125"/>
      <c r="E46" s="15">
        <f>8285.9*Оглавление!H29</f>
        <v>4971540</v>
      </c>
    </row>
    <row r="47" spans="1:5" ht="22.2" customHeight="1" thickBot="1">
      <c r="A47" s="26" t="s">
        <v>377</v>
      </c>
      <c r="B47" s="26" t="s">
        <v>551</v>
      </c>
      <c r="C47" s="124" t="s">
        <v>154</v>
      </c>
      <c r="D47" s="125"/>
      <c r="E47" s="15">
        <f>8971.9*Оглавление!H29</f>
        <v>5383140</v>
      </c>
    </row>
    <row r="48" spans="1:5" ht="49.95" customHeight="1" thickBot="1">
      <c r="A48" s="29" t="s">
        <v>378</v>
      </c>
      <c r="B48" s="51" t="s">
        <v>553</v>
      </c>
      <c r="C48" s="103" t="s">
        <v>174</v>
      </c>
      <c r="D48" s="91"/>
      <c r="E48" s="21">
        <f>8570.1*Оглавление!H29</f>
        <v>5142060</v>
      </c>
    </row>
    <row r="49" spans="1:5" ht="47.25" customHeight="1" thickBot="1">
      <c r="A49" s="29" t="s">
        <v>379</v>
      </c>
      <c r="B49" s="51" t="s">
        <v>554</v>
      </c>
      <c r="C49" s="128" t="s">
        <v>175</v>
      </c>
      <c r="D49" s="93"/>
      <c r="E49" s="21">
        <f>9256.1*Оглавление!H29</f>
        <v>5553660</v>
      </c>
    </row>
    <row r="50" spans="1:5" ht="61.95" customHeight="1" thickBot="1">
      <c r="A50" s="29" t="s">
        <v>380</v>
      </c>
      <c r="B50" s="56" t="s">
        <v>555</v>
      </c>
      <c r="C50" s="128" t="s">
        <v>176</v>
      </c>
      <c r="D50" s="93"/>
      <c r="E50" s="21">
        <f>9716.7*Оглавление!H29</f>
        <v>5830020</v>
      </c>
    </row>
    <row r="51" spans="1:5" ht="49.95" customHeight="1" thickBot="1">
      <c r="A51" s="30" t="s">
        <v>386</v>
      </c>
      <c r="B51" s="61" t="s">
        <v>558</v>
      </c>
      <c r="C51" s="131" t="s">
        <v>557</v>
      </c>
      <c r="D51" s="132"/>
      <c r="E51" s="31">
        <f>5189.1*Оглавление!H29</f>
        <v>3113460</v>
      </c>
    </row>
    <row r="52" spans="1:5" ht="63.6" customHeight="1" thickBot="1">
      <c r="A52" s="32" t="s">
        <v>387</v>
      </c>
      <c r="B52" s="58" t="s">
        <v>559</v>
      </c>
      <c r="C52" s="129" t="s">
        <v>560</v>
      </c>
      <c r="D52" s="130"/>
      <c r="E52" s="33">
        <f>6556.2*Оглавление!H29</f>
        <v>3933720</v>
      </c>
    </row>
    <row r="53" spans="1:5" ht="61.2" customHeight="1" thickBot="1">
      <c r="A53" s="30" t="s">
        <v>388</v>
      </c>
      <c r="B53" s="57" t="s">
        <v>561</v>
      </c>
      <c r="C53" s="131" t="s">
        <v>273</v>
      </c>
      <c r="D53" s="132"/>
      <c r="E53" s="31">
        <f>6487.6*Оглавление!H29</f>
        <v>3892560</v>
      </c>
    </row>
    <row r="54" spans="1:5" ht="56.4" customHeight="1" thickBot="1">
      <c r="A54" s="30" t="s">
        <v>389</v>
      </c>
      <c r="B54" s="57" t="s">
        <v>562</v>
      </c>
      <c r="C54" s="131" t="s">
        <v>300</v>
      </c>
      <c r="D54" s="132"/>
      <c r="E54" s="31">
        <f>6636.56*Оглавление!H29</f>
        <v>3981936.0000000005</v>
      </c>
    </row>
    <row r="55" spans="1:5" ht="56.4" customHeight="1" thickBot="1">
      <c r="A55" s="30" t="s">
        <v>495</v>
      </c>
      <c r="B55" s="57" t="s">
        <v>564</v>
      </c>
      <c r="C55" s="131" t="s">
        <v>496</v>
      </c>
      <c r="D55" s="132"/>
      <c r="E55" s="31">
        <f>8437.8*Оглавление!H29</f>
        <v>5062680</v>
      </c>
    </row>
    <row r="56" spans="1:5" ht="56.4" customHeight="1" thickBot="1">
      <c r="A56" s="32" t="s">
        <v>494</v>
      </c>
      <c r="B56" s="58" t="s">
        <v>563</v>
      </c>
      <c r="C56" s="129" t="s">
        <v>498</v>
      </c>
      <c r="D56" s="130"/>
      <c r="E56" s="33">
        <f>9804.9*Оглавление!H29</f>
        <v>5882940</v>
      </c>
    </row>
    <row r="57" spans="1:5" ht="56.4" customHeight="1" thickBot="1">
      <c r="A57" s="32" t="s">
        <v>493</v>
      </c>
      <c r="B57" s="58" t="s">
        <v>565</v>
      </c>
      <c r="C57" s="129" t="s">
        <v>497</v>
      </c>
      <c r="D57" s="130"/>
      <c r="E57" s="33">
        <f>11103.4*Оглавление!H29</f>
        <v>6662040</v>
      </c>
    </row>
    <row r="58" spans="1:5" ht="19.2" customHeight="1" thickBot="1">
      <c r="A58" s="32" t="s">
        <v>390</v>
      </c>
      <c r="B58" s="58" t="s">
        <v>567</v>
      </c>
      <c r="C58" s="129" t="s">
        <v>280</v>
      </c>
      <c r="D58" s="130"/>
      <c r="E58" s="33">
        <f>6688.5*Оглавление!H29</f>
        <v>4013100</v>
      </c>
    </row>
    <row r="59" spans="1:5" ht="20.399999999999999" customHeight="1" thickBot="1">
      <c r="A59" s="32" t="s">
        <v>391</v>
      </c>
      <c r="B59" s="58" t="s">
        <v>566</v>
      </c>
      <c r="C59" s="129" t="s">
        <v>281</v>
      </c>
      <c r="D59" s="130"/>
      <c r="E59" s="33">
        <f>7928.2*Оглавление!H29</f>
        <v>4756920</v>
      </c>
    </row>
    <row r="60" spans="1:5" ht="49.95" customHeight="1" thickBot="1">
      <c r="A60" s="30" t="s">
        <v>405</v>
      </c>
      <c r="B60" s="61" t="s">
        <v>568</v>
      </c>
      <c r="C60" s="131" t="s">
        <v>217</v>
      </c>
      <c r="D60" s="132"/>
      <c r="E60" s="31">
        <f>5659.5*Оглавление!H29</f>
        <v>3395700</v>
      </c>
    </row>
    <row r="61" spans="1:5" ht="61.2" customHeight="1" thickBot="1">
      <c r="A61" s="30" t="s">
        <v>407</v>
      </c>
      <c r="B61" s="61" t="s">
        <v>570</v>
      </c>
      <c r="C61" s="131" t="s">
        <v>216</v>
      </c>
      <c r="D61" s="132"/>
      <c r="E61" s="31">
        <f>5953.5*Оглавление!H29</f>
        <v>3572100</v>
      </c>
    </row>
    <row r="62" spans="1:5" ht="49.95" customHeight="1" thickBot="1">
      <c r="A62" s="30" t="s">
        <v>408</v>
      </c>
      <c r="B62" s="61" t="s">
        <v>571</v>
      </c>
      <c r="C62" s="131" t="s">
        <v>219</v>
      </c>
      <c r="D62" s="132"/>
      <c r="E62" s="31">
        <f>6453.3*Оглавление!H29</f>
        <v>3871980</v>
      </c>
    </row>
    <row r="63" spans="1:5" ht="47.4" customHeight="1" thickBot="1">
      <c r="A63" s="30" t="s">
        <v>409</v>
      </c>
      <c r="B63" s="61" t="s">
        <v>572</v>
      </c>
      <c r="C63" s="131" t="s">
        <v>214</v>
      </c>
      <c r="D63" s="132"/>
      <c r="E63" s="31">
        <f>7129.5*Оглавление!H29</f>
        <v>4277700</v>
      </c>
    </row>
    <row r="64" spans="1:5" ht="46.95" customHeight="1" thickBot="1">
      <c r="A64" s="30" t="s">
        <v>410</v>
      </c>
      <c r="B64" s="61" t="s">
        <v>573</v>
      </c>
      <c r="C64" s="131" t="s">
        <v>215</v>
      </c>
      <c r="D64" s="132"/>
      <c r="E64" s="31">
        <f>7227.5*Оглавление!H29</f>
        <v>4336500</v>
      </c>
    </row>
    <row r="65" spans="1:5" ht="46.95" customHeight="1" thickBot="1">
      <c r="A65" s="30" t="s">
        <v>411</v>
      </c>
      <c r="B65" s="61" t="s">
        <v>574</v>
      </c>
      <c r="C65" s="131" t="s">
        <v>224</v>
      </c>
      <c r="D65" s="132"/>
      <c r="E65" s="31">
        <f>9623.6*Оглавление!H29</f>
        <v>5774160</v>
      </c>
    </row>
    <row r="66" spans="1:5" ht="46.95" customHeight="1" thickBot="1">
      <c r="A66" s="30" t="s">
        <v>412</v>
      </c>
      <c r="B66" s="61" t="s">
        <v>575</v>
      </c>
      <c r="C66" s="131" t="s">
        <v>225</v>
      </c>
      <c r="D66" s="132"/>
      <c r="E66" s="31">
        <f>10412.5*Оглавление!H29</f>
        <v>6247500</v>
      </c>
    </row>
    <row r="67" spans="1:5" ht="46.2" customHeight="1" thickBot="1">
      <c r="A67" s="32" t="s">
        <v>406</v>
      </c>
      <c r="B67" s="62" t="s">
        <v>569</v>
      </c>
      <c r="C67" s="129" t="s">
        <v>218</v>
      </c>
      <c r="D67" s="130"/>
      <c r="E67" s="33">
        <f>6845.3*Оглавление!H29</f>
        <v>4107180</v>
      </c>
    </row>
    <row r="68" spans="1:5" ht="48" customHeight="1" thickBot="1">
      <c r="A68" s="32" t="s">
        <v>413</v>
      </c>
      <c r="B68" s="62" t="s">
        <v>576</v>
      </c>
      <c r="C68" s="129" t="s">
        <v>220</v>
      </c>
      <c r="D68" s="130"/>
      <c r="E68" s="33">
        <f>8315.3*Оглавление!H29</f>
        <v>4989180</v>
      </c>
    </row>
    <row r="69" spans="1:5" ht="48" customHeight="1" thickBot="1">
      <c r="A69" s="32" t="s">
        <v>414</v>
      </c>
      <c r="B69" s="62" t="s">
        <v>577</v>
      </c>
      <c r="C69" s="129" t="s">
        <v>221</v>
      </c>
      <c r="D69" s="130"/>
      <c r="E69" s="33">
        <f>7139.3*Оглавление!H29</f>
        <v>4283580</v>
      </c>
    </row>
    <row r="70" spans="1:5" ht="57.6" customHeight="1" thickBot="1">
      <c r="A70" s="32" t="s">
        <v>415</v>
      </c>
      <c r="B70" s="62" t="s">
        <v>578</v>
      </c>
      <c r="C70" s="129" t="s">
        <v>222</v>
      </c>
      <c r="D70" s="130"/>
      <c r="E70" s="33">
        <f>8413.3*Оглавление!H29</f>
        <v>5047980</v>
      </c>
    </row>
    <row r="71" spans="1:5" ht="48.6" customHeight="1" thickBot="1">
      <c r="A71" s="32" t="s">
        <v>416</v>
      </c>
      <c r="B71" s="62" t="s">
        <v>579</v>
      </c>
      <c r="C71" s="129" t="s">
        <v>223</v>
      </c>
      <c r="D71" s="130"/>
      <c r="E71" s="33">
        <f>7639.1*Оглавление!H29</f>
        <v>4583460</v>
      </c>
    </row>
    <row r="72" spans="1:5" ht="48.6" customHeight="1" thickBot="1">
      <c r="A72" s="32" t="s">
        <v>417</v>
      </c>
      <c r="B72" s="62" t="s">
        <v>580</v>
      </c>
      <c r="C72" s="129" t="s">
        <v>226</v>
      </c>
      <c r="D72" s="130"/>
      <c r="E72" s="33">
        <f>10809.4*Оглавление!H29</f>
        <v>6485640</v>
      </c>
    </row>
    <row r="73" spans="1:5" ht="57.6" customHeight="1" thickBot="1">
      <c r="A73" s="32" t="s">
        <v>418</v>
      </c>
      <c r="B73" s="62" t="s">
        <v>581</v>
      </c>
      <c r="C73" s="129" t="s">
        <v>227</v>
      </c>
      <c r="D73" s="130"/>
      <c r="E73" s="33">
        <f>11603.2*Оглавление!H29</f>
        <v>6961920</v>
      </c>
    </row>
    <row r="74" spans="1:5" ht="57.6" customHeight="1" thickBot="1">
      <c r="A74" s="32" t="s">
        <v>419</v>
      </c>
      <c r="B74" s="62" t="s">
        <v>582</v>
      </c>
      <c r="C74" s="129" t="s">
        <v>228</v>
      </c>
      <c r="D74" s="130"/>
      <c r="E74" s="33">
        <f>11377.8*Оглавление!H29</f>
        <v>6826680</v>
      </c>
    </row>
    <row r="75" spans="1:5" ht="51.6" customHeight="1" thickBot="1">
      <c r="A75" s="32" t="s">
        <v>420</v>
      </c>
      <c r="B75" s="62" t="s">
        <v>583</v>
      </c>
      <c r="C75" s="129" t="s">
        <v>229</v>
      </c>
      <c r="D75" s="130"/>
      <c r="E75" s="33">
        <f>12171.6*Оглавление!H29</f>
        <v>7302960</v>
      </c>
    </row>
    <row r="76" spans="1:5" ht="23.4" customHeight="1" thickBot="1">
      <c r="A76" s="29" t="s">
        <v>421</v>
      </c>
      <c r="B76" s="51"/>
      <c r="C76" s="103" t="s">
        <v>469</v>
      </c>
      <c r="D76" s="91"/>
      <c r="E76" s="21">
        <f>1189.72*Оглавление!H29</f>
        <v>713832</v>
      </c>
    </row>
    <row r="77" spans="1:5" ht="18" customHeight="1" thickBot="1">
      <c r="A77" s="29" t="s">
        <v>422</v>
      </c>
      <c r="B77" s="51"/>
      <c r="C77" s="103" t="s">
        <v>470</v>
      </c>
      <c r="D77" s="91"/>
      <c r="E77" s="21">
        <f>3964.1*Оглавление!H29</f>
        <v>2378460</v>
      </c>
    </row>
    <row r="78" spans="1:5" ht="18" customHeight="1" thickBot="1">
      <c r="A78" s="29" t="s">
        <v>423</v>
      </c>
      <c r="B78" s="51"/>
      <c r="C78" s="103" t="s">
        <v>471</v>
      </c>
      <c r="D78" s="91"/>
      <c r="E78" s="21">
        <f>4532.5*Оглавление!H29</f>
        <v>2719500</v>
      </c>
    </row>
    <row r="79" spans="1:5" ht="18" customHeight="1" thickBot="1">
      <c r="A79" s="29" t="s">
        <v>424</v>
      </c>
      <c r="B79" s="51"/>
      <c r="C79" s="103" t="s">
        <v>472</v>
      </c>
      <c r="D79" s="91"/>
      <c r="E79" s="21">
        <f>793.8*Оглавление!H29</f>
        <v>476280</v>
      </c>
    </row>
    <row r="80" spans="1:5" ht="15.6" customHeight="1" thickBot="1">
      <c r="A80" s="29" t="s">
        <v>425</v>
      </c>
      <c r="B80" s="51"/>
      <c r="C80" s="103" t="s">
        <v>473</v>
      </c>
      <c r="D80" s="91"/>
      <c r="E80" s="21">
        <f>907.48*Оглавление!H29</f>
        <v>544488</v>
      </c>
    </row>
    <row r="81" spans="1:5" ht="13.2" customHeight="1" thickBot="1">
      <c r="A81" s="29" t="s">
        <v>426</v>
      </c>
      <c r="B81" s="51"/>
      <c r="C81" s="103" t="s">
        <v>474</v>
      </c>
      <c r="D81" s="91"/>
      <c r="E81" s="21">
        <f>1020.18*Оглавление!H29</f>
        <v>612108</v>
      </c>
    </row>
    <row r="82" spans="1:5" ht="16.95" customHeight="1" thickBot="1">
      <c r="A82" s="29" t="s">
        <v>427</v>
      </c>
      <c r="B82" s="51"/>
      <c r="C82" s="103" t="s">
        <v>475</v>
      </c>
      <c r="D82" s="91"/>
      <c r="E82" s="21">
        <f>1020.18*Оглавление!H29</f>
        <v>612108</v>
      </c>
    </row>
    <row r="83" spans="1:5" ht="16.95" customHeight="1" thickBot="1">
      <c r="A83" s="29" t="s">
        <v>428</v>
      </c>
      <c r="B83" s="51"/>
      <c r="C83" s="128" t="s">
        <v>476</v>
      </c>
      <c r="D83" s="93"/>
      <c r="E83" s="21">
        <f>907.48*Оглавление!H29</f>
        <v>544488</v>
      </c>
    </row>
    <row r="84" spans="1:5" ht="12.75" customHeight="1" thickBot="1">
      <c r="A84" s="29" t="s">
        <v>463</v>
      </c>
      <c r="B84" s="51"/>
      <c r="C84" s="103" t="s">
        <v>492</v>
      </c>
      <c r="D84" s="91"/>
      <c r="E84" s="21">
        <f>1364.16*Оглавление!H29</f>
        <v>818496</v>
      </c>
    </row>
    <row r="85" spans="1:5" ht="12.75" customHeight="1" thickBot="1">
      <c r="A85" s="29" t="s">
        <v>464</v>
      </c>
      <c r="B85" s="51"/>
      <c r="C85" s="103" t="s">
        <v>490</v>
      </c>
      <c r="D85" s="91"/>
      <c r="E85" s="21">
        <f>3248.7*Оглавление!H29</f>
        <v>1949220</v>
      </c>
    </row>
    <row r="86" spans="1:5" ht="12.75" customHeight="1" thickBot="1">
      <c r="A86" s="29" t="s">
        <v>465</v>
      </c>
      <c r="B86" s="51"/>
      <c r="C86" s="103" t="s">
        <v>489</v>
      </c>
      <c r="D86" s="91"/>
      <c r="E86" s="21">
        <f>4552.1*Оглавление!H29</f>
        <v>2731260</v>
      </c>
    </row>
    <row r="87" spans="1:5" ht="12.75" customHeight="1" thickBot="1">
      <c r="A87" s="69" t="s">
        <v>499</v>
      </c>
      <c r="B87" s="59"/>
      <c r="C87" s="103" t="s">
        <v>500</v>
      </c>
      <c r="D87" s="91"/>
      <c r="E87" s="21">
        <f>1364.16*Оглавление!H29</f>
        <v>818496</v>
      </c>
    </row>
    <row r="88" spans="1:5" ht="12.75" customHeight="1" thickBot="1">
      <c r="A88" s="69" t="s">
        <v>485</v>
      </c>
      <c r="B88" s="59"/>
      <c r="C88" s="103" t="s">
        <v>487</v>
      </c>
      <c r="D88" s="91"/>
      <c r="E88" s="21">
        <f>3248.7*Оглавление!H29</f>
        <v>1949220</v>
      </c>
    </row>
    <row r="89" spans="1:5" ht="12.75" customHeight="1" thickBot="1">
      <c r="A89" s="69" t="s">
        <v>486</v>
      </c>
      <c r="B89" s="59"/>
      <c r="C89" s="103" t="s">
        <v>488</v>
      </c>
      <c r="D89" s="91"/>
      <c r="E89" s="21">
        <f>4552.1*Оглавление!H29</f>
        <v>2731260</v>
      </c>
    </row>
    <row r="90" spans="1:5" ht="12.75" customHeight="1">
      <c r="A90" s="69" t="s">
        <v>462</v>
      </c>
      <c r="B90" s="59"/>
      <c r="C90" s="103" t="s">
        <v>477</v>
      </c>
      <c r="D90" s="91"/>
      <c r="E90" s="21">
        <f>1200.5*Оглавление!H29</f>
        <v>720300</v>
      </c>
    </row>
    <row r="91" spans="1:5" ht="24" customHeight="1">
      <c r="A91" s="17" t="s">
        <v>323</v>
      </c>
      <c r="B91" s="47" t="s">
        <v>521</v>
      </c>
      <c r="C91" s="86" t="s">
        <v>195</v>
      </c>
      <c r="D91" s="87"/>
      <c r="E91" s="21">
        <f>884*Оглавление!H29</f>
        <v>530400</v>
      </c>
    </row>
    <row r="92" spans="1:5" ht="20.25" customHeight="1">
      <c r="A92" s="17" t="s">
        <v>438</v>
      </c>
      <c r="B92" s="47" t="s">
        <v>585</v>
      </c>
      <c r="C92" s="86" t="s">
        <v>277</v>
      </c>
      <c r="D92" s="87"/>
      <c r="E92" s="21">
        <f>994*Оглавление!H29</f>
        <v>596400</v>
      </c>
    </row>
    <row r="93" spans="1:5" ht="12.75" customHeight="1">
      <c r="A93" s="17" t="s">
        <v>437</v>
      </c>
      <c r="B93" s="47" t="s">
        <v>584</v>
      </c>
      <c r="C93" s="86" t="s">
        <v>251</v>
      </c>
      <c r="D93" s="87"/>
      <c r="E93" s="21">
        <f>1459.5*Оглавление!H29</f>
        <v>875700</v>
      </c>
    </row>
    <row r="94" spans="1:5" ht="24" customHeight="1">
      <c r="A94" s="17" t="s">
        <v>439</v>
      </c>
      <c r="B94" s="64" t="s">
        <v>586</v>
      </c>
      <c r="C94" s="86" t="s">
        <v>258</v>
      </c>
      <c r="D94" s="87"/>
      <c r="E94" s="21">
        <f>271.56*Оглавление!H29</f>
        <v>162936</v>
      </c>
    </row>
    <row r="95" spans="1:5" ht="12.75" customHeight="1">
      <c r="A95" s="17" t="s">
        <v>440</v>
      </c>
      <c r="B95" s="64" t="s">
        <v>587</v>
      </c>
      <c r="C95" s="86" t="s">
        <v>255</v>
      </c>
      <c r="D95" s="87"/>
      <c r="E95" s="21">
        <f>923.49*Оглавление!H29</f>
        <v>554094</v>
      </c>
    </row>
    <row r="96" spans="1:5" ht="12.75" customHeight="1">
      <c r="A96" s="17" t="s">
        <v>441</v>
      </c>
      <c r="B96" s="64" t="s">
        <v>588</v>
      </c>
      <c r="C96" s="86" t="s">
        <v>256</v>
      </c>
      <c r="D96" s="87"/>
      <c r="E96" s="21">
        <f>1899.99*Оглавление!H29</f>
        <v>1139994</v>
      </c>
    </row>
    <row r="97" spans="1:5" ht="12.75" customHeight="1">
      <c r="A97" s="17" t="s">
        <v>442</v>
      </c>
      <c r="B97" s="64" t="s">
        <v>589</v>
      </c>
      <c r="C97" s="86" t="s">
        <v>257</v>
      </c>
      <c r="D97" s="87"/>
      <c r="E97" s="21">
        <f>3096.9*Оглавление!H29</f>
        <v>1858140</v>
      </c>
    </row>
    <row r="98" spans="1:5" ht="12.75" customHeight="1">
      <c r="A98" s="17" t="s">
        <v>443</v>
      </c>
      <c r="B98" s="64"/>
      <c r="C98" s="86" t="s">
        <v>260</v>
      </c>
      <c r="D98" s="87"/>
      <c r="E98" s="21">
        <f>651.93*Оглавление!H29</f>
        <v>391157.99999999994</v>
      </c>
    </row>
    <row r="99" spans="1:5" ht="12.75" customHeight="1">
      <c r="A99" s="17" t="s">
        <v>444</v>
      </c>
      <c r="B99" s="64"/>
      <c r="C99" s="86" t="s">
        <v>261</v>
      </c>
      <c r="D99" s="87"/>
      <c r="E99" s="21">
        <f>1628.43*Оглавление!H29</f>
        <v>977058</v>
      </c>
    </row>
    <row r="100" spans="1:5" ht="12.75" customHeight="1">
      <c r="A100" s="17" t="s">
        <v>445</v>
      </c>
      <c r="B100" s="64"/>
      <c r="C100" s="86" t="s">
        <v>262</v>
      </c>
      <c r="D100" s="87"/>
      <c r="E100" s="21">
        <f>2822.55*Оглавление!H29</f>
        <v>1693530</v>
      </c>
    </row>
    <row r="101" spans="1:5" ht="12.75" customHeight="1">
      <c r="A101" s="17" t="s">
        <v>446</v>
      </c>
      <c r="B101" s="64"/>
      <c r="C101" s="86" t="s">
        <v>263</v>
      </c>
      <c r="D101" s="87"/>
      <c r="E101" s="21">
        <f>976.5*Оглавление!H29</f>
        <v>585900</v>
      </c>
    </row>
    <row r="102" spans="1:5" ht="12.75" customHeight="1">
      <c r="A102" s="17" t="s">
        <v>447</v>
      </c>
      <c r="B102" s="64"/>
      <c r="C102" s="86" t="s">
        <v>264</v>
      </c>
      <c r="D102" s="87"/>
      <c r="E102" s="21">
        <f>2170.62*Оглавление!H29</f>
        <v>1302372</v>
      </c>
    </row>
    <row r="103" spans="1:5" ht="12.75" customHeight="1">
      <c r="A103" s="17" t="s">
        <v>448</v>
      </c>
      <c r="B103" s="64"/>
      <c r="C103" s="86" t="s">
        <v>265</v>
      </c>
      <c r="D103" s="87"/>
      <c r="E103" s="21">
        <f>1195.05*Оглавление!H29</f>
        <v>717030</v>
      </c>
    </row>
    <row r="104" spans="1:5" ht="12.75" customHeight="1">
      <c r="A104" s="17" t="s">
        <v>449</v>
      </c>
      <c r="B104" s="64"/>
      <c r="C104" s="86" t="s">
        <v>266</v>
      </c>
      <c r="D104" s="87"/>
      <c r="E104" s="21">
        <f>709.59*Оглавление!H29</f>
        <v>425754</v>
      </c>
    </row>
    <row r="105" spans="1:5" ht="16.2" customHeight="1" thickBot="1">
      <c r="A105" s="17" t="s">
        <v>466</v>
      </c>
      <c r="B105" s="65"/>
      <c r="C105" s="84" t="s">
        <v>266</v>
      </c>
      <c r="D105" s="133"/>
      <c r="E105" s="21">
        <f>709.59*Оглавление!H29</f>
        <v>425754</v>
      </c>
    </row>
    <row r="106" spans="1:5" ht="45" customHeight="1">
      <c r="A106" s="29" t="s">
        <v>309</v>
      </c>
      <c r="B106" s="17" t="s">
        <v>51</v>
      </c>
      <c r="C106" s="103" t="s">
        <v>54</v>
      </c>
      <c r="D106" s="104"/>
      <c r="E106" s="21">
        <f>101.37*Оглавление!H29</f>
        <v>60822</v>
      </c>
    </row>
    <row r="107" spans="1:5" ht="52.2" customHeight="1">
      <c r="A107" s="16" t="s">
        <v>310</v>
      </c>
      <c r="B107" s="53" t="s">
        <v>52</v>
      </c>
      <c r="C107" s="105" t="s">
        <v>56</v>
      </c>
      <c r="D107" s="106"/>
      <c r="E107" s="21">
        <f>112.53*Оглавление!H29</f>
        <v>67518</v>
      </c>
    </row>
    <row r="108" spans="1:5" ht="58.2" customHeight="1">
      <c r="A108" s="52" t="s">
        <v>311</v>
      </c>
      <c r="B108" s="51" t="s">
        <v>512</v>
      </c>
      <c r="C108" s="105" t="s">
        <v>57</v>
      </c>
      <c r="D108" s="102"/>
      <c r="E108" s="21">
        <f>94.86*Оглавление!H29</f>
        <v>56916</v>
      </c>
    </row>
    <row r="109" spans="1:5" ht="55.2" customHeight="1">
      <c r="A109" s="17" t="s">
        <v>312</v>
      </c>
      <c r="B109" s="8" t="s">
        <v>53</v>
      </c>
      <c r="C109" s="105" t="s">
        <v>58</v>
      </c>
      <c r="D109" s="102"/>
      <c r="E109" s="21">
        <f>93.93*Оглавление!H29</f>
        <v>56358.000000000007</v>
      </c>
    </row>
    <row r="110" spans="1:5" ht="24.75" customHeight="1">
      <c r="A110" s="17" t="s">
        <v>313</v>
      </c>
      <c r="B110" s="8" t="s">
        <v>53</v>
      </c>
      <c r="C110" s="84" t="s">
        <v>59</v>
      </c>
      <c r="D110" s="102"/>
      <c r="E110" s="21">
        <f>83.7*Оглавление!H29</f>
        <v>50220</v>
      </c>
    </row>
    <row r="111" spans="1:5" ht="19.95" customHeight="1">
      <c r="A111" s="17" t="s">
        <v>314</v>
      </c>
      <c r="B111" s="8" t="s">
        <v>63</v>
      </c>
      <c r="C111" s="84" t="s">
        <v>55</v>
      </c>
      <c r="D111" s="102"/>
      <c r="E111" s="21">
        <f>34.25*Оглавление!H29</f>
        <v>20550</v>
      </c>
    </row>
    <row r="112" spans="1:5" ht="58.95" customHeight="1">
      <c r="A112" s="17" t="s">
        <v>315</v>
      </c>
      <c r="B112" s="8" t="s">
        <v>60</v>
      </c>
      <c r="C112" s="84" t="s">
        <v>64</v>
      </c>
      <c r="D112" s="102"/>
      <c r="E112" s="21">
        <f>61*Оглавление!H29</f>
        <v>36600</v>
      </c>
    </row>
    <row r="113" spans="1:20" ht="56.4" customHeight="1">
      <c r="A113" s="17" t="s">
        <v>316</v>
      </c>
      <c r="B113" s="8" t="s">
        <v>61</v>
      </c>
      <c r="C113" s="84" t="s">
        <v>65</v>
      </c>
      <c r="D113" s="102"/>
      <c r="E113" s="21">
        <f>35.25*Оглавление!H29</f>
        <v>21150</v>
      </c>
    </row>
    <row r="114" spans="1:20" ht="64.95" customHeight="1">
      <c r="A114" s="12">
        <v>45106</v>
      </c>
      <c r="B114" s="8" t="s">
        <v>62</v>
      </c>
      <c r="C114" s="84" t="s">
        <v>66</v>
      </c>
      <c r="D114" s="102"/>
      <c r="E114" s="21">
        <f>65*Оглавление!H29</f>
        <v>39000</v>
      </c>
    </row>
    <row r="115" spans="1:20" ht="62.4" customHeight="1">
      <c r="A115" s="17" t="s">
        <v>317</v>
      </c>
      <c r="B115" s="8" t="s">
        <v>68</v>
      </c>
      <c r="C115" s="84" t="s">
        <v>70</v>
      </c>
      <c r="D115" s="102"/>
      <c r="E115" s="21">
        <f>67*Оглавление!H29</f>
        <v>40200</v>
      </c>
    </row>
    <row r="116" spans="1:20" ht="64.2" customHeight="1">
      <c r="A116" s="17" t="s">
        <v>318</v>
      </c>
      <c r="B116" s="8" t="s">
        <v>67</v>
      </c>
      <c r="C116" s="84" t="s">
        <v>72</v>
      </c>
      <c r="D116" s="102"/>
      <c r="E116" s="21">
        <f>145*Оглавление!H29</f>
        <v>87000</v>
      </c>
    </row>
    <row r="117" spans="1:20" ht="57.6" customHeight="1" thickBot="1">
      <c r="A117" s="17">
        <v>45117</v>
      </c>
      <c r="B117" s="8" t="s">
        <v>69</v>
      </c>
      <c r="C117" s="84" t="s">
        <v>71</v>
      </c>
      <c r="D117" s="102"/>
      <c r="E117" s="21">
        <f>27.25*Оглавление!H29</f>
        <v>16350</v>
      </c>
    </row>
    <row r="118" spans="1:20" ht="63.6" customHeight="1">
      <c r="A118" s="17" t="s">
        <v>98</v>
      </c>
      <c r="B118" s="24" t="s">
        <v>16</v>
      </c>
      <c r="C118" s="107" t="s">
        <v>97</v>
      </c>
      <c r="D118" s="108"/>
      <c r="E118" s="21">
        <f>185*Оглавление!H29</f>
        <v>111000</v>
      </c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</row>
    <row r="119" spans="1:20" ht="64.2" customHeight="1">
      <c r="A119" s="17" t="s">
        <v>339</v>
      </c>
      <c r="B119" s="17" t="s">
        <v>99</v>
      </c>
      <c r="C119" s="109" t="s">
        <v>100</v>
      </c>
      <c r="D119" s="110"/>
      <c r="E119" s="21">
        <f>250*Оглавление!H29</f>
        <v>150000</v>
      </c>
    </row>
    <row r="120" spans="1:20" ht="36.6" customHeight="1">
      <c r="A120" s="17" t="s">
        <v>340</v>
      </c>
      <c r="B120" s="17" t="s">
        <v>15</v>
      </c>
      <c r="C120" s="109" t="s">
        <v>101</v>
      </c>
      <c r="D120" s="110"/>
      <c r="E120" s="21">
        <f>263*Оглавление!H29</f>
        <v>157800</v>
      </c>
    </row>
    <row r="121" spans="1:20" ht="49.95" customHeight="1">
      <c r="A121" s="17" t="s">
        <v>341</v>
      </c>
      <c r="B121" s="17" t="s">
        <v>102</v>
      </c>
      <c r="C121" s="109" t="s">
        <v>104</v>
      </c>
      <c r="D121" s="110"/>
      <c r="E121" s="21">
        <f>55*Оглавление!H29</f>
        <v>33000</v>
      </c>
    </row>
    <row r="122" spans="1:20" ht="27.6" customHeight="1" thickBot="1">
      <c r="A122" s="17" t="s">
        <v>342</v>
      </c>
      <c r="B122" s="17" t="s">
        <v>103</v>
      </c>
      <c r="C122" s="111" t="s">
        <v>105</v>
      </c>
      <c r="D122" s="112"/>
      <c r="E122" s="21">
        <f>102*Оглавление!H29</f>
        <v>61200</v>
      </c>
    </row>
    <row r="123" spans="1:20" ht="63.6" customHeight="1">
      <c r="A123" s="16" t="s">
        <v>309</v>
      </c>
      <c r="B123" s="24" t="s">
        <v>51</v>
      </c>
      <c r="C123" s="119" t="s">
        <v>54</v>
      </c>
      <c r="D123" s="120"/>
      <c r="E123" s="21">
        <f>101.37*Оглавление!H29</f>
        <v>60822</v>
      </c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</row>
    <row r="124" spans="1:20" ht="63.6" customHeight="1">
      <c r="A124" s="17" t="s">
        <v>314</v>
      </c>
      <c r="B124" s="17" t="s">
        <v>63</v>
      </c>
      <c r="C124" s="119" t="s">
        <v>55</v>
      </c>
      <c r="D124" s="120"/>
      <c r="E124" s="21">
        <f>34.25*Оглавление!H29</f>
        <v>20550</v>
      </c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</row>
    <row r="125" spans="1:20" ht="63.6" customHeight="1">
      <c r="A125" s="17" t="s">
        <v>354</v>
      </c>
      <c r="B125" s="17" t="s">
        <v>122</v>
      </c>
      <c r="C125" s="119" t="s">
        <v>123</v>
      </c>
      <c r="D125" s="120"/>
      <c r="E125" s="21">
        <f>121*Оглавление!H29</f>
        <v>72600</v>
      </c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</row>
    <row r="126" spans="1:20" ht="58.95" customHeight="1">
      <c r="A126" s="17" t="s">
        <v>315</v>
      </c>
      <c r="B126" s="17" t="s">
        <v>60</v>
      </c>
      <c r="C126" s="119" t="s">
        <v>64</v>
      </c>
      <c r="D126" s="120"/>
      <c r="E126" s="21">
        <f>61*Оглавление!H29</f>
        <v>36600</v>
      </c>
    </row>
    <row r="127" spans="1:20" ht="56.4" customHeight="1">
      <c r="A127" s="17" t="s">
        <v>316</v>
      </c>
      <c r="B127" s="17" t="s">
        <v>61</v>
      </c>
      <c r="C127" s="119" t="s">
        <v>65</v>
      </c>
      <c r="D127" s="120"/>
      <c r="E127" s="21">
        <f>35.25*Оглавление!H29</f>
        <v>21150</v>
      </c>
    </row>
    <row r="128" spans="1:20" ht="64.95" customHeight="1">
      <c r="A128" s="12">
        <v>45106</v>
      </c>
      <c r="B128" s="12" t="s">
        <v>62</v>
      </c>
      <c r="C128" s="119" t="s">
        <v>66</v>
      </c>
      <c r="D128" s="120"/>
      <c r="E128" s="21">
        <f>65*Оглавление!H29</f>
        <v>39000</v>
      </c>
    </row>
    <row r="129" spans="1:20" ht="64.95" customHeight="1">
      <c r="A129" s="12">
        <v>45109</v>
      </c>
      <c r="B129" s="12" t="s">
        <v>124</v>
      </c>
      <c r="C129" s="119" t="s">
        <v>126</v>
      </c>
      <c r="D129" s="120"/>
      <c r="E129" s="21">
        <f>130*Оглавление!H29</f>
        <v>78000</v>
      </c>
    </row>
    <row r="130" spans="1:20" ht="64.95" customHeight="1">
      <c r="A130" s="12">
        <v>45110</v>
      </c>
      <c r="B130" s="12" t="s">
        <v>125</v>
      </c>
      <c r="C130" s="119" t="s">
        <v>127</v>
      </c>
      <c r="D130" s="120"/>
      <c r="E130" s="21">
        <f>127*Оглавление!H29</f>
        <v>76200</v>
      </c>
    </row>
    <row r="131" spans="1:20" ht="64.95" customHeight="1">
      <c r="A131" s="12">
        <v>45114</v>
      </c>
      <c r="B131" s="12" t="s">
        <v>128</v>
      </c>
      <c r="C131" s="119" t="s">
        <v>129</v>
      </c>
      <c r="D131" s="120"/>
      <c r="E131" s="21">
        <f>112*Оглавление!H29</f>
        <v>67200</v>
      </c>
    </row>
    <row r="132" spans="1:20" ht="62.4" customHeight="1">
      <c r="A132" s="17" t="s">
        <v>317</v>
      </c>
      <c r="B132" s="17" t="s">
        <v>68</v>
      </c>
      <c r="C132" s="119" t="s">
        <v>70</v>
      </c>
      <c r="D132" s="120"/>
      <c r="E132" s="21">
        <f>67*Оглавление!H29</f>
        <v>40200</v>
      </c>
    </row>
    <row r="133" spans="1:20" ht="64.2" customHeight="1">
      <c r="A133" s="17" t="s">
        <v>318</v>
      </c>
      <c r="B133" s="17" t="s">
        <v>67</v>
      </c>
      <c r="C133" s="119" t="s">
        <v>72</v>
      </c>
      <c r="D133" s="120"/>
      <c r="E133" s="21">
        <f>145*Оглавление!H29</f>
        <v>87000</v>
      </c>
    </row>
    <row r="134" spans="1:20" ht="57.6" customHeight="1" thickBot="1">
      <c r="A134" s="12">
        <v>45117</v>
      </c>
      <c r="B134" s="12" t="s">
        <v>69</v>
      </c>
      <c r="C134" s="119" t="s">
        <v>71</v>
      </c>
      <c r="D134" s="120"/>
      <c r="E134" s="21">
        <f>27.25*Оглавление!H29</f>
        <v>16350</v>
      </c>
    </row>
    <row r="135" spans="1:20" ht="63.6" customHeight="1" thickBot="1">
      <c r="A135" s="34">
        <v>45200</v>
      </c>
      <c r="B135" s="10" t="s">
        <v>16</v>
      </c>
      <c r="C135" s="126" t="s">
        <v>552</v>
      </c>
      <c r="D135" s="127"/>
      <c r="E135" s="21">
        <f>204*Оглавление!H29</f>
        <v>122400</v>
      </c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</row>
    <row r="136" spans="1:20" ht="63.6" customHeight="1" thickBot="1">
      <c r="A136" s="35">
        <v>45201</v>
      </c>
      <c r="B136" s="35" t="s">
        <v>155</v>
      </c>
      <c r="C136" s="126" t="s">
        <v>482</v>
      </c>
      <c r="D136" s="127"/>
      <c r="E136" s="21">
        <f>153*Оглавление!H29</f>
        <v>91800</v>
      </c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</row>
    <row r="137" spans="1:20" ht="63.6" customHeight="1" thickBot="1">
      <c r="A137" s="35">
        <v>45202</v>
      </c>
      <c r="B137" s="35" t="s">
        <v>155</v>
      </c>
      <c r="C137" s="126" t="s">
        <v>161</v>
      </c>
      <c r="D137" s="127"/>
      <c r="E137" s="21">
        <f>63*Оглавление!H29</f>
        <v>37800</v>
      </c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</row>
    <row r="138" spans="1:20" ht="58.95" customHeight="1" thickBot="1">
      <c r="A138" s="35">
        <v>45206</v>
      </c>
      <c r="B138" s="35" t="s">
        <v>156</v>
      </c>
      <c r="C138" s="126" t="s">
        <v>162</v>
      </c>
      <c r="D138" s="127"/>
      <c r="E138" s="21">
        <f>99*Оглавление!H29</f>
        <v>59400</v>
      </c>
    </row>
    <row r="139" spans="1:20" ht="56.4" customHeight="1" thickBot="1">
      <c r="A139" s="35">
        <v>45209</v>
      </c>
      <c r="B139" s="35" t="s">
        <v>157</v>
      </c>
      <c r="C139" s="126" t="s">
        <v>163</v>
      </c>
      <c r="D139" s="127"/>
      <c r="E139" s="21">
        <f>263*Оглавление!H29</f>
        <v>157800</v>
      </c>
    </row>
    <row r="140" spans="1:20" ht="64.95" customHeight="1" thickBot="1">
      <c r="A140" s="36">
        <v>45210</v>
      </c>
      <c r="B140" s="36" t="s">
        <v>99</v>
      </c>
      <c r="C140" s="126" t="s">
        <v>164</v>
      </c>
      <c r="D140" s="127"/>
      <c r="E140" s="21">
        <f>270*Оглавление!H29</f>
        <v>162000</v>
      </c>
    </row>
    <row r="141" spans="1:20" ht="64.95" customHeight="1" thickBot="1">
      <c r="A141" s="36">
        <v>45214</v>
      </c>
      <c r="B141" s="36" t="s">
        <v>158</v>
      </c>
      <c r="C141" s="126" t="s">
        <v>165</v>
      </c>
      <c r="D141" s="127"/>
      <c r="E141" s="21">
        <f>268*Оглавление!H29</f>
        <v>160800</v>
      </c>
    </row>
    <row r="142" spans="1:20" ht="64.95" customHeight="1" thickBot="1">
      <c r="A142" s="35">
        <v>45215</v>
      </c>
      <c r="B142" s="35" t="s">
        <v>15</v>
      </c>
      <c r="C142" s="126" t="s">
        <v>166</v>
      </c>
      <c r="D142" s="127"/>
      <c r="E142" s="21">
        <f>278*Оглавление!H29</f>
        <v>166800</v>
      </c>
    </row>
    <row r="143" spans="1:20" ht="63.6" customHeight="1" thickBot="1">
      <c r="A143" s="17" t="s">
        <v>381</v>
      </c>
      <c r="B143" s="8" t="s">
        <v>16</v>
      </c>
      <c r="C143" s="126" t="s">
        <v>188</v>
      </c>
      <c r="D143" s="127"/>
      <c r="E143" s="21">
        <f>214.2*Оглавление!H29</f>
        <v>128520</v>
      </c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</row>
    <row r="144" spans="1:20" ht="63.6" customHeight="1" thickBot="1">
      <c r="A144" s="17" t="s">
        <v>382</v>
      </c>
      <c r="B144" s="8" t="s">
        <v>185</v>
      </c>
      <c r="C144" s="126" t="s">
        <v>187</v>
      </c>
      <c r="D144" s="127"/>
      <c r="E144" s="21">
        <f>169.05*Оглавление!H29</f>
        <v>101430</v>
      </c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</row>
    <row r="145" spans="1:20" ht="63.6" customHeight="1" thickBot="1">
      <c r="A145" s="17" t="s">
        <v>383</v>
      </c>
      <c r="B145" s="8" t="s">
        <v>186</v>
      </c>
      <c r="C145" s="126" t="s">
        <v>184</v>
      </c>
      <c r="D145" s="127"/>
      <c r="E145" s="21">
        <f>6770.35*Оглавление!H29</f>
        <v>4062210</v>
      </c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</row>
    <row r="146" spans="1:20" ht="58.95" customHeight="1" thickBot="1">
      <c r="A146" s="17" t="s">
        <v>384</v>
      </c>
      <c r="B146" s="8" t="s">
        <v>99</v>
      </c>
      <c r="C146" s="126" t="s">
        <v>179</v>
      </c>
      <c r="D146" s="127"/>
      <c r="E146" s="21">
        <f>283.5*Оглавление!H29</f>
        <v>170100</v>
      </c>
    </row>
    <row r="147" spans="1:20" ht="56.4" customHeight="1" thickBot="1">
      <c r="A147" s="17" t="s">
        <v>385</v>
      </c>
      <c r="B147" s="8" t="s">
        <v>556</v>
      </c>
      <c r="C147" s="126" t="s">
        <v>178</v>
      </c>
      <c r="D147" s="127"/>
      <c r="E147" s="21">
        <f>281.4*Оглавление!H29</f>
        <v>168840</v>
      </c>
    </row>
    <row r="148" spans="1:20" ht="64.95" customHeight="1" thickBot="1">
      <c r="A148" s="17">
        <v>45715</v>
      </c>
      <c r="B148" s="8" t="s">
        <v>15</v>
      </c>
      <c r="C148" s="126" t="s">
        <v>177</v>
      </c>
      <c r="D148" s="127"/>
      <c r="E148" s="21">
        <f>291.9*Оглавление!H29</f>
        <v>175140</v>
      </c>
    </row>
    <row r="149" spans="1:20" ht="63.6" customHeight="1">
      <c r="A149" s="17" t="s">
        <v>392</v>
      </c>
      <c r="B149" s="24" t="s">
        <v>196</v>
      </c>
      <c r="C149" s="107" t="s">
        <v>201</v>
      </c>
      <c r="D149" s="108"/>
      <c r="E149" s="21">
        <f>329*Оглавление!H29</f>
        <v>197400</v>
      </c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</row>
    <row r="150" spans="1:20" ht="63.6" customHeight="1">
      <c r="A150" s="17" t="s">
        <v>393</v>
      </c>
      <c r="B150" s="17" t="s">
        <v>14</v>
      </c>
      <c r="C150" s="109" t="s">
        <v>198</v>
      </c>
      <c r="D150" s="110"/>
      <c r="E150" s="21">
        <f>276*Оглавление!H29</f>
        <v>165600</v>
      </c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</row>
    <row r="151" spans="1:20" ht="63.6" customHeight="1">
      <c r="A151" s="17" t="s">
        <v>394</v>
      </c>
      <c r="B151" s="17" t="s">
        <v>15</v>
      </c>
      <c r="C151" s="109" t="s">
        <v>199</v>
      </c>
      <c r="D151" s="110"/>
      <c r="E151" s="21">
        <f>329*Оглавление!H29</f>
        <v>197400</v>
      </c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</row>
    <row r="152" spans="1:20" ht="63.6" customHeight="1">
      <c r="A152" s="17" t="s">
        <v>395</v>
      </c>
      <c r="B152" s="17" t="s">
        <v>197</v>
      </c>
      <c r="C152" s="109" t="s">
        <v>279</v>
      </c>
      <c r="D152" s="110"/>
      <c r="E152" s="21">
        <f>316*Оглавление!H29</f>
        <v>189600</v>
      </c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</row>
    <row r="153" spans="1:20" ht="64.95" customHeight="1" thickBot="1">
      <c r="A153" s="17" t="s">
        <v>396</v>
      </c>
      <c r="B153" s="17" t="s">
        <v>185</v>
      </c>
      <c r="C153" s="111" t="s">
        <v>200</v>
      </c>
      <c r="D153" s="112"/>
      <c r="E153" s="21">
        <f>278*Оглавление!H29</f>
        <v>166800</v>
      </c>
    </row>
    <row r="154" spans="1:20" ht="63.6" customHeight="1">
      <c r="A154" s="16" t="s">
        <v>429</v>
      </c>
      <c r="B154" s="10" t="s">
        <v>14</v>
      </c>
      <c r="C154" s="107" t="s">
        <v>239</v>
      </c>
      <c r="D154" s="108"/>
      <c r="E154" s="21">
        <f>388*Оглавление!H29</f>
        <v>232800</v>
      </c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</row>
    <row r="155" spans="1:20" ht="63.6" customHeight="1">
      <c r="A155" s="16" t="s">
        <v>430</v>
      </c>
      <c r="B155" s="10" t="s">
        <v>15</v>
      </c>
      <c r="C155" s="109" t="s">
        <v>240</v>
      </c>
      <c r="D155" s="110"/>
      <c r="E155" s="21">
        <f>376*Оглавление!H29</f>
        <v>225600</v>
      </c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</row>
    <row r="156" spans="1:20" ht="63.6" customHeight="1">
      <c r="A156" s="16" t="s">
        <v>431</v>
      </c>
      <c r="B156" s="8" t="s">
        <v>17</v>
      </c>
      <c r="C156" s="109" t="s">
        <v>241</v>
      </c>
      <c r="D156" s="110"/>
      <c r="E156" s="21">
        <f>442*Оглавление!H29</f>
        <v>265200</v>
      </c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</row>
    <row r="157" spans="1:20" ht="58.95" customHeight="1">
      <c r="A157" s="16" t="s">
        <v>432</v>
      </c>
      <c r="B157" s="8" t="s">
        <v>197</v>
      </c>
      <c r="C157" s="109" t="s">
        <v>242</v>
      </c>
      <c r="D157" s="110"/>
      <c r="E157" s="21">
        <f>369*Оглавление!H29</f>
        <v>221400</v>
      </c>
    </row>
    <row r="158" spans="1:20" ht="56.4" customHeight="1" thickBot="1">
      <c r="A158" s="16" t="s">
        <v>433</v>
      </c>
      <c r="B158" s="8" t="s">
        <v>185</v>
      </c>
      <c r="C158" s="111" t="s">
        <v>200</v>
      </c>
      <c r="D158" s="112"/>
      <c r="E158" s="21">
        <f>266*Оглавление!H29</f>
        <v>159600</v>
      </c>
    </row>
    <row r="159" spans="1:20" ht="65.400000000000006" customHeight="1">
      <c r="A159" s="16" t="s">
        <v>397</v>
      </c>
      <c r="B159" s="47"/>
      <c r="C159" s="84" t="s">
        <v>202</v>
      </c>
      <c r="D159" s="85"/>
      <c r="E159" s="21">
        <f>194*Оглавление!H29</f>
        <v>116400</v>
      </c>
    </row>
    <row r="160" spans="1:20" ht="64.95" customHeight="1">
      <c r="A160" s="16" t="s">
        <v>398</v>
      </c>
      <c r="B160" s="47"/>
      <c r="C160" s="84" t="s">
        <v>203</v>
      </c>
      <c r="D160" s="85"/>
      <c r="E160" s="21">
        <f>533*Оглавление!H29</f>
        <v>319800</v>
      </c>
    </row>
    <row r="161" spans="1:5" ht="65.400000000000006" customHeight="1">
      <c r="A161" s="16" t="s">
        <v>434</v>
      </c>
      <c r="B161" s="47"/>
      <c r="C161" s="84" t="s">
        <v>202</v>
      </c>
      <c r="D161" s="85"/>
      <c r="E161" s="21">
        <f>185*Оглавление!H29</f>
        <v>111000</v>
      </c>
    </row>
    <row r="162" spans="1:5" ht="64.95" customHeight="1">
      <c r="A162" s="16" t="s">
        <v>435</v>
      </c>
      <c r="B162" s="47"/>
      <c r="C162" s="84" t="s">
        <v>203</v>
      </c>
      <c r="D162" s="85"/>
      <c r="E162" s="21">
        <f>538*Оглавление!H29</f>
        <v>322800</v>
      </c>
    </row>
    <row r="163" spans="1:5" ht="49.95" customHeight="1">
      <c r="A163" s="16" t="s">
        <v>343</v>
      </c>
      <c r="B163" s="47"/>
      <c r="C163" s="84" t="s">
        <v>107</v>
      </c>
      <c r="D163" s="85"/>
      <c r="E163" s="21">
        <f>96*Оглавление!H29</f>
        <v>57600</v>
      </c>
    </row>
    <row r="164" spans="1:5" ht="27.6" customHeight="1">
      <c r="A164" s="16" t="s">
        <v>344</v>
      </c>
      <c r="B164" s="47"/>
      <c r="C164" s="84" t="s">
        <v>108</v>
      </c>
      <c r="D164" s="85"/>
      <c r="E164" s="21">
        <f>96*Оглавление!H29</f>
        <v>57600</v>
      </c>
    </row>
    <row r="165" spans="1:5" ht="31.2" customHeight="1">
      <c r="A165" s="16" t="s">
        <v>345</v>
      </c>
      <c r="B165" s="47"/>
      <c r="C165" s="84" t="s">
        <v>109</v>
      </c>
      <c r="D165" s="85"/>
      <c r="E165" s="21">
        <f>179*Оглавление!H29</f>
        <v>107400</v>
      </c>
    </row>
    <row r="166" spans="1:5" ht="33.6" customHeight="1">
      <c r="A166" s="16" t="s">
        <v>346</v>
      </c>
      <c r="B166" s="47"/>
      <c r="C166" s="84" t="s">
        <v>110</v>
      </c>
      <c r="D166" s="85"/>
      <c r="E166" s="21">
        <f>179*Оглавление!H29</f>
        <v>107400</v>
      </c>
    </row>
    <row r="167" spans="1:5" ht="36.6" customHeight="1">
      <c r="A167" s="16" t="s">
        <v>347</v>
      </c>
      <c r="B167" s="47"/>
      <c r="C167" s="84" t="s">
        <v>111</v>
      </c>
      <c r="D167" s="85"/>
      <c r="E167" s="21">
        <f>86.75*Оглавление!H29</f>
        <v>52050</v>
      </c>
    </row>
    <row r="168" spans="1:5" ht="35.4" customHeight="1">
      <c r="A168" s="16" t="s">
        <v>348</v>
      </c>
      <c r="B168" s="47"/>
      <c r="C168" s="84" t="s">
        <v>112</v>
      </c>
      <c r="D168" s="85"/>
      <c r="E168" s="21">
        <f>80*Оглавление!H29</f>
        <v>48000</v>
      </c>
    </row>
    <row r="169" spans="1:5" ht="57" customHeight="1">
      <c r="A169" s="16" t="s">
        <v>343</v>
      </c>
      <c r="B169" s="47"/>
      <c r="C169" s="84" t="s">
        <v>107</v>
      </c>
      <c r="D169" s="85"/>
      <c r="E169" s="21">
        <f>96*Оглавление!H29</f>
        <v>57600</v>
      </c>
    </row>
    <row r="170" spans="1:5" ht="25.2" customHeight="1">
      <c r="A170" s="16" t="s">
        <v>344</v>
      </c>
      <c r="B170" s="47"/>
      <c r="C170" s="84" t="s">
        <v>108</v>
      </c>
      <c r="D170" s="85"/>
      <c r="E170" s="21">
        <f>96*Оглавление!H29</f>
        <v>57600</v>
      </c>
    </row>
    <row r="171" spans="1:5" ht="25.2" customHeight="1">
      <c r="A171" s="16" t="s">
        <v>345</v>
      </c>
      <c r="B171" s="47"/>
      <c r="C171" s="84" t="s">
        <v>109</v>
      </c>
      <c r="D171" s="85"/>
      <c r="E171" s="21">
        <f>179*Оглавление!H29</f>
        <v>107400</v>
      </c>
    </row>
    <row r="172" spans="1:5" ht="29.4" customHeight="1">
      <c r="A172" s="16" t="s">
        <v>346</v>
      </c>
      <c r="B172" s="47"/>
      <c r="C172" s="84" t="s">
        <v>110</v>
      </c>
      <c r="D172" s="85"/>
      <c r="E172" s="21">
        <f>179*Оглавление!H29</f>
        <v>107400</v>
      </c>
    </row>
    <row r="173" spans="1:5" ht="35.4" customHeight="1">
      <c r="A173" s="16" t="s">
        <v>347</v>
      </c>
      <c r="B173" s="47"/>
      <c r="C173" s="84" t="s">
        <v>111</v>
      </c>
      <c r="D173" s="85"/>
      <c r="E173" s="21">
        <f>86.75*Оглавление!H29</f>
        <v>52050</v>
      </c>
    </row>
    <row r="174" spans="1:5" ht="35.4" customHeight="1">
      <c r="A174" s="16" t="s">
        <v>348</v>
      </c>
      <c r="B174" s="47"/>
      <c r="C174" s="84" t="s">
        <v>112</v>
      </c>
      <c r="D174" s="85"/>
      <c r="E174" s="21">
        <f>80*Оглавление!H29</f>
        <v>48000</v>
      </c>
    </row>
    <row r="175" spans="1:5" ht="63" customHeight="1">
      <c r="A175" s="16" t="s">
        <v>169</v>
      </c>
      <c r="B175" s="47"/>
      <c r="C175" s="84" t="s">
        <v>171</v>
      </c>
      <c r="D175" s="85"/>
      <c r="E175" s="21">
        <f>76*Оглавление!H29</f>
        <v>45600</v>
      </c>
    </row>
    <row r="176" spans="1:5" ht="64.95" customHeight="1">
      <c r="A176" s="16" t="s">
        <v>170</v>
      </c>
      <c r="B176" s="47"/>
      <c r="C176" s="84" t="s">
        <v>172</v>
      </c>
      <c r="D176" s="85"/>
      <c r="E176" s="21">
        <f>179*Оглавление!H29</f>
        <v>107400</v>
      </c>
    </row>
    <row r="177" spans="1:5" ht="57" customHeight="1">
      <c r="A177" s="16" t="s">
        <v>189</v>
      </c>
      <c r="B177" s="47"/>
      <c r="C177" s="84" t="s">
        <v>192</v>
      </c>
      <c r="D177" s="85"/>
      <c r="E177" s="21">
        <f>227*Оглавление!H29</f>
        <v>136200</v>
      </c>
    </row>
    <row r="178" spans="1:5" ht="25.2" customHeight="1">
      <c r="A178" s="16" t="s">
        <v>190</v>
      </c>
      <c r="B178" s="47"/>
      <c r="C178" s="84" t="s">
        <v>193</v>
      </c>
      <c r="D178" s="85"/>
      <c r="E178" s="21">
        <f>376*Оглавление!H29</f>
        <v>225600</v>
      </c>
    </row>
    <row r="179" spans="1:5" ht="39.6" customHeight="1">
      <c r="A179" s="16" t="s">
        <v>191</v>
      </c>
      <c r="B179" s="47"/>
      <c r="C179" s="84" t="s">
        <v>194</v>
      </c>
      <c r="D179" s="85"/>
      <c r="E179" s="21">
        <f>290*Оглавление!H29</f>
        <v>174000</v>
      </c>
    </row>
    <row r="180" spans="1:5" ht="57" customHeight="1">
      <c r="A180" s="16" t="s">
        <v>169</v>
      </c>
      <c r="B180" s="47"/>
      <c r="C180" s="84" t="s">
        <v>171</v>
      </c>
      <c r="D180" s="85"/>
      <c r="E180" s="21">
        <f>76*Оглавление!H29</f>
        <v>45600</v>
      </c>
    </row>
    <row r="181" spans="1:5" ht="57" customHeight="1">
      <c r="A181" s="16" t="s">
        <v>170</v>
      </c>
      <c r="B181" s="47"/>
      <c r="C181" s="84" t="s">
        <v>172</v>
      </c>
      <c r="D181" s="85"/>
      <c r="E181" s="21">
        <f>179*Оглавление!H29</f>
        <v>107400</v>
      </c>
    </row>
    <row r="182" spans="1:5" ht="54.6" customHeight="1">
      <c r="A182" s="16" t="s">
        <v>343</v>
      </c>
      <c r="B182" s="47"/>
      <c r="C182" s="84" t="s">
        <v>206</v>
      </c>
      <c r="D182" s="85"/>
      <c r="E182" s="21">
        <f>96*Оглавление!H29</f>
        <v>57600</v>
      </c>
    </row>
    <row r="183" spans="1:5" ht="53.4" customHeight="1">
      <c r="A183" s="16" t="s">
        <v>344</v>
      </c>
      <c r="B183" s="47"/>
      <c r="C183" s="84" t="s">
        <v>205</v>
      </c>
      <c r="D183" s="85"/>
      <c r="E183" s="21">
        <f>96*Оглавление!H29</f>
        <v>57600</v>
      </c>
    </row>
    <row r="184" spans="1:5" ht="55.2" customHeight="1">
      <c r="A184" s="16" t="s">
        <v>345</v>
      </c>
      <c r="B184" s="47"/>
      <c r="C184" s="84" t="s">
        <v>204</v>
      </c>
      <c r="D184" s="85"/>
      <c r="E184" s="21">
        <f>179*Оглавление!H29</f>
        <v>107400</v>
      </c>
    </row>
    <row r="185" spans="1:5" ht="39.6" customHeight="1">
      <c r="A185" s="16" t="s">
        <v>346</v>
      </c>
      <c r="B185" s="47"/>
      <c r="C185" s="84" t="s">
        <v>207</v>
      </c>
      <c r="D185" s="85"/>
      <c r="E185" s="21">
        <f>179*Оглавление!H29</f>
        <v>107400</v>
      </c>
    </row>
    <row r="186" spans="1:5" ht="39.6" customHeight="1">
      <c r="A186" s="16" t="s">
        <v>347</v>
      </c>
      <c r="B186" s="47"/>
      <c r="C186" s="84" t="s">
        <v>282</v>
      </c>
      <c r="D186" s="85"/>
      <c r="E186" s="21">
        <f>86.75*Оглавление!H29</f>
        <v>52050</v>
      </c>
    </row>
    <row r="187" spans="1:5" ht="39.6" customHeight="1">
      <c r="A187" s="16" t="s">
        <v>348</v>
      </c>
      <c r="B187" s="47"/>
      <c r="C187" s="84" t="s">
        <v>283</v>
      </c>
      <c r="D187" s="85"/>
      <c r="E187" s="21">
        <f>80*Оглавление!H29</f>
        <v>48000</v>
      </c>
    </row>
    <row r="188" spans="1:5" ht="39.6" customHeight="1">
      <c r="A188" s="16" t="s">
        <v>399</v>
      </c>
      <c r="B188" s="47"/>
      <c r="C188" s="84" t="s">
        <v>208</v>
      </c>
      <c r="D188" s="85"/>
      <c r="E188" s="21">
        <f>113*Оглавление!H29</f>
        <v>67800</v>
      </c>
    </row>
    <row r="189" spans="1:5" ht="57" customHeight="1">
      <c r="A189" s="16" t="s">
        <v>189</v>
      </c>
      <c r="B189" s="47"/>
      <c r="C189" s="84" t="s">
        <v>248</v>
      </c>
      <c r="D189" s="85"/>
      <c r="E189" s="21">
        <f>227*Оглавление!H29</f>
        <v>136200</v>
      </c>
    </row>
    <row r="190" spans="1:5" ht="57" customHeight="1">
      <c r="A190" s="16" t="s">
        <v>190</v>
      </c>
      <c r="B190" s="47"/>
      <c r="C190" s="84" t="s">
        <v>249</v>
      </c>
      <c r="D190" s="85"/>
      <c r="E190" s="21">
        <f>376*Оглавление!H29</f>
        <v>225600</v>
      </c>
    </row>
    <row r="191" spans="1:5" ht="54.6" customHeight="1">
      <c r="A191" s="16" t="s">
        <v>191</v>
      </c>
      <c r="B191" s="47"/>
      <c r="C191" s="84" t="s">
        <v>250</v>
      </c>
      <c r="D191" s="85"/>
      <c r="E191" s="21">
        <f>290*Оглавление!H29</f>
        <v>174000</v>
      </c>
    </row>
    <row r="192" spans="1:5" ht="56.4" customHeight="1">
      <c r="A192" s="16" t="s">
        <v>319</v>
      </c>
      <c r="B192" s="47"/>
      <c r="C192" s="84" t="s">
        <v>73</v>
      </c>
      <c r="D192" s="85"/>
      <c r="E192" s="21">
        <f>91*Оглавление!H29</f>
        <v>54600</v>
      </c>
    </row>
    <row r="193" spans="1:5" ht="54" customHeight="1">
      <c r="A193" s="17" t="s">
        <v>320</v>
      </c>
      <c r="B193" s="48"/>
      <c r="C193" s="84" t="s">
        <v>479</v>
      </c>
      <c r="D193" s="85"/>
      <c r="E193" s="21">
        <f>36.5*Оглавление!H29</f>
        <v>21900</v>
      </c>
    </row>
    <row r="194" spans="1:5" ht="27.6" customHeight="1">
      <c r="A194" s="17" t="s">
        <v>321</v>
      </c>
      <c r="B194" s="48"/>
      <c r="C194" s="84" t="s">
        <v>74</v>
      </c>
      <c r="D194" s="85"/>
      <c r="E194" s="21">
        <f>74*Оглавление!H29</f>
        <v>44400</v>
      </c>
    </row>
    <row r="195" spans="1:5" ht="24" customHeight="1">
      <c r="A195" s="17" t="s">
        <v>322</v>
      </c>
      <c r="B195" s="48"/>
      <c r="C195" s="84" t="s">
        <v>75</v>
      </c>
      <c r="D195" s="85"/>
      <c r="E195" s="21">
        <f>60*Оглавление!H29</f>
        <v>36000</v>
      </c>
    </row>
    <row r="196" spans="1:5" ht="56.4" customHeight="1">
      <c r="A196" s="16" t="s">
        <v>319</v>
      </c>
      <c r="B196" s="47"/>
      <c r="C196" s="84" t="s">
        <v>73</v>
      </c>
      <c r="D196" s="85"/>
      <c r="E196" s="21">
        <f>91*Оглавление!H9</f>
        <v>0</v>
      </c>
    </row>
    <row r="197" spans="1:5" ht="27.6" customHeight="1">
      <c r="A197" s="17" t="s">
        <v>321</v>
      </c>
      <c r="B197" s="48"/>
      <c r="C197" s="84" t="s">
        <v>74</v>
      </c>
      <c r="D197" s="85"/>
      <c r="E197" s="21">
        <f>74*Оглавление!H29</f>
        <v>44400</v>
      </c>
    </row>
    <row r="198" spans="1:5" ht="24" customHeight="1">
      <c r="A198" s="17" t="s">
        <v>322</v>
      </c>
      <c r="B198" s="48"/>
      <c r="C198" s="84" t="s">
        <v>75</v>
      </c>
      <c r="D198" s="85"/>
      <c r="E198" s="21">
        <f>60*Оглавление!H29</f>
        <v>36000</v>
      </c>
    </row>
    <row r="199" spans="1:5" ht="56.4" customHeight="1">
      <c r="A199" s="16" t="s">
        <v>319</v>
      </c>
      <c r="B199" s="47"/>
      <c r="C199" s="84" t="s">
        <v>73</v>
      </c>
      <c r="D199" s="85"/>
      <c r="E199" s="21">
        <f>91*Оглавление!H29</f>
        <v>54600</v>
      </c>
    </row>
    <row r="200" spans="1:5" ht="54" customHeight="1">
      <c r="A200" s="17" t="s">
        <v>320</v>
      </c>
      <c r="B200" s="48"/>
      <c r="C200" s="84" t="s">
        <v>479</v>
      </c>
      <c r="D200" s="85"/>
      <c r="E200" s="21">
        <f>36.5*Оглавление!H29</f>
        <v>21900</v>
      </c>
    </row>
    <row r="201" spans="1:5" ht="27.6" customHeight="1">
      <c r="A201" s="17" t="s">
        <v>321</v>
      </c>
      <c r="B201" s="48"/>
      <c r="C201" s="84" t="s">
        <v>74</v>
      </c>
      <c r="D201" s="85"/>
      <c r="E201" s="21">
        <f>74*Оглавление!H29</f>
        <v>44400</v>
      </c>
    </row>
    <row r="202" spans="1:5" ht="24" customHeight="1">
      <c r="A202" s="17" t="s">
        <v>322</v>
      </c>
      <c r="B202" s="48"/>
      <c r="C202" s="84" t="s">
        <v>75</v>
      </c>
      <c r="D202" s="85"/>
      <c r="E202" s="21">
        <f>60*Оглавление!H29</f>
        <v>36000</v>
      </c>
    </row>
    <row r="203" spans="1:5" ht="56.4" customHeight="1">
      <c r="A203" s="16" t="s">
        <v>319</v>
      </c>
      <c r="B203" s="47"/>
      <c r="C203" s="84" t="s">
        <v>73</v>
      </c>
      <c r="D203" s="85"/>
      <c r="E203" s="21">
        <f>91*Оглавление!H29</f>
        <v>54600</v>
      </c>
    </row>
    <row r="204" spans="1:5" ht="54" customHeight="1">
      <c r="A204" s="17" t="s">
        <v>320</v>
      </c>
      <c r="B204" s="48"/>
      <c r="C204" s="84" t="s">
        <v>479</v>
      </c>
      <c r="D204" s="85"/>
      <c r="E204" s="21">
        <f>36.5*Оглавление!H29</f>
        <v>21900</v>
      </c>
    </row>
    <row r="205" spans="1:5" ht="27.6" customHeight="1">
      <c r="A205" s="17" t="s">
        <v>321</v>
      </c>
      <c r="B205" s="48"/>
      <c r="C205" s="84" t="s">
        <v>74</v>
      </c>
      <c r="D205" s="85"/>
      <c r="E205" s="21">
        <f>74*Оглавление!H29</f>
        <v>44400</v>
      </c>
    </row>
    <row r="206" spans="1:5" ht="24" customHeight="1">
      <c r="A206" s="17" t="s">
        <v>322</v>
      </c>
      <c r="B206" s="48"/>
      <c r="C206" s="84" t="s">
        <v>75</v>
      </c>
      <c r="D206" s="85"/>
      <c r="E206" s="21">
        <f>60*Оглавление!H29</f>
        <v>36000</v>
      </c>
    </row>
    <row r="207" spans="1:5" ht="56.4" customHeight="1">
      <c r="A207" s="16" t="s">
        <v>436</v>
      </c>
      <c r="B207" s="47"/>
      <c r="C207" s="84" t="s">
        <v>480</v>
      </c>
      <c r="D207" s="85"/>
      <c r="E207" s="21">
        <f>104*Оглавление!H29</f>
        <v>62400</v>
      </c>
    </row>
    <row r="208" spans="1:5" ht="56.4" customHeight="1">
      <c r="A208" s="16" t="s">
        <v>400</v>
      </c>
      <c r="B208" s="47"/>
      <c r="C208" s="84" t="s">
        <v>211</v>
      </c>
      <c r="D208" s="85"/>
      <c r="E208" s="21">
        <f>87*Оглавление!H29</f>
        <v>52200</v>
      </c>
    </row>
    <row r="209" spans="1:5" ht="54" customHeight="1">
      <c r="A209" s="17" t="s">
        <v>401</v>
      </c>
      <c r="B209" s="48"/>
      <c r="C209" s="84" t="s">
        <v>210</v>
      </c>
      <c r="D209" s="85"/>
      <c r="E209" s="21">
        <f>66.25*Оглавление!H29</f>
        <v>39750</v>
      </c>
    </row>
    <row r="210" spans="1:5" ht="27.6" customHeight="1">
      <c r="A210" s="17" t="s">
        <v>321</v>
      </c>
      <c r="B210" s="48"/>
      <c r="C210" s="84" t="s">
        <v>274</v>
      </c>
      <c r="D210" s="85"/>
      <c r="E210" s="21">
        <f>74*Оглавление!H29</f>
        <v>44400</v>
      </c>
    </row>
    <row r="211" spans="1:5" ht="24" customHeight="1">
      <c r="A211" s="17" t="s">
        <v>322</v>
      </c>
      <c r="B211" s="48"/>
      <c r="C211" s="84" t="s">
        <v>275</v>
      </c>
      <c r="D211" s="85"/>
      <c r="E211" s="21">
        <f>60*Оглавление!H29</f>
        <v>36000</v>
      </c>
    </row>
    <row r="212" spans="1:5" ht="24" customHeight="1">
      <c r="A212" s="17" t="s">
        <v>402</v>
      </c>
      <c r="B212" s="48"/>
      <c r="C212" s="84" t="s">
        <v>209</v>
      </c>
      <c r="D212" s="85"/>
      <c r="E212" s="21">
        <f>41*Оглавление!H29</f>
        <v>24600</v>
      </c>
    </row>
    <row r="213" spans="1:5" ht="54" customHeight="1">
      <c r="A213" s="17" t="s">
        <v>401</v>
      </c>
      <c r="B213" s="48"/>
      <c r="C213" s="84" t="s">
        <v>210</v>
      </c>
      <c r="D213" s="85"/>
      <c r="E213" s="21">
        <f>66.25*Оглавление!H29</f>
        <v>39750</v>
      </c>
    </row>
    <row r="214" spans="1:5" ht="27.6" customHeight="1">
      <c r="A214" s="17" t="s">
        <v>321</v>
      </c>
      <c r="B214" s="48"/>
      <c r="C214" s="84" t="s">
        <v>74</v>
      </c>
      <c r="D214" s="85"/>
      <c r="E214" s="21">
        <f>74*Оглавление!H29</f>
        <v>44400</v>
      </c>
    </row>
    <row r="215" spans="1:5" ht="24" customHeight="1">
      <c r="A215" s="17" t="s">
        <v>322</v>
      </c>
      <c r="B215" s="48"/>
      <c r="C215" s="84" t="s">
        <v>75</v>
      </c>
      <c r="D215" s="85"/>
      <c r="E215" s="21">
        <f>60*Оглавление!H29</f>
        <v>36000</v>
      </c>
    </row>
    <row r="216" spans="1:5" ht="24" customHeight="1">
      <c r="A216" s="17" t="s">
        <v>436</v>
      </c>
      <c r="B216" s="48"/>
      <c r="C216" s="84" t="s">
        <v>252</v>
      </c>
      <c r="D216" s="85"/>
      <c r="E216" s="21">
        <f>104*Оглавление!H29</f>
        <v>62400</v>
      </c>
    </row>
    <row r="217" spans="1:5" ht="57" customHeight="1">
      <c r="A217" s="16" t="s">
        <v>324</v>
      </c>
      <c r="B217" s="47"/>
      <c r="C217" s="84" t="s">
        <v>79</v>
      </c>
      <c r="D217" s="85"/>
      <c r="E217" s="21">
        <f>252*Оглавление!H29</f>
        <v>151200</v>
      </c>
    </row>
    <row r="218" spans="1:5" ht="58.2" customHeight="1">
      <c r="A218" s="24" t="s">
        <v>325</v>
      </c>
      <c r="B218" s="47"/>
      <c r="C218" s="84" t="s">
        <v>80</v>
      </c>
      <c r="D218" s="85"/>
      <c r="E218" s="21">
        <f>252*Оглавление!H29</f>
        <v>151200</v>
      </c>
    </row>
    <row r="219" spans="1:5" ht="12.75" customHeight="1">
      <c r="A219" s="24" t="s">
        <v>326</v>
      </c>
      <c r="B219" s="47"/>
      <c r="C219" s="84" t="s">
        <v>81</v>
      </c>
      <c r="D219" s="85"/>
      <c r="E219" s="21">
        <f>151.25*Оглавление!H29</f>
        <v>90750</v>
      </c>
    </row>
    <row r="220" spans="1:5" ht="12.75" customHeight="1">
      <c r="A220" s="24" t="s">
        <v>327</v>
      </c>
      <c r="B220" s="47"/>
      <c r="C220" s="84" t="s">
        <v>82</v>
      </c>
      <c r="D220" s="85"/>
      <c r="E220" s="21">
        <f>83*Оглавление!H29</f>
        <v>49800</v>
      </c>
    </row>
    <row r="221" spans="1:5" ht="12.75" customHeight="1">
      <c r="A221" s="24" t="s">
        <v>328</v>
      </c>
      <c r="B221" s="47"/>
      <c r="C221" s="84" t="s">
        <v>83</v>
      </c>
      <c r="D221" s="85"/>
      <c r="E221" s="21">
        <f>155*Оглавление!H29</f>
        <v>93000</v>
      </c>
    </row>
    <row r="222" spans="1:5" ht="12.75" customHeight="1">
      <c r="A222" s="24" t="s">
        <v>329</v>
      </c>
      <c r="B222" s="47"/>
      <c r="C222" s="84" t="s">
        <v>84</v>
      </c>
      <c r="D222" s="85"/>
      <c r="E222" s="21">
        <f>131.25*Оглавление!H29</f>
        <v>78750</v>
      </c>
    </row>
    <row r="223" spans="1:5" ht="12.75" customHeight="1">
      <c r="A223" s="24" t="s">
        <v>330</v>
      </c>
      <c r="B223" s="47"/>
      <c r="C223" s="84" t="s">
        <v>85</v>
      </c>
      <c r="D223" s="85"/>
      <c r="E223" s="21">
        <f>190*Оглавление!H29</f>
        <v>114000</v>
      </c>
    </row>
    <row r="224" spans="1:5" ht="21.6" customHeight="1">
      <c r="A224" s="16" t="s">
        <v>331</v>
      </c>
      <c r="B224" s="47"/>
      <c r="C224" s="84" t="s">
        <v>86</v>
      </c>
      <c r="D224" s="85"/>
      <c r="E224" s="21">
        <f>227*Оглавление!H29</f>
        <v>136200</v>
      </c>
    </row>
    <row r="225" spans="1:5" ht="12.75" customHeight="1">
      <c r="A225" s="24" t="s">
        <v>327</v>
      </c>
      <c r="B225" s="47"/>
      <c r="C225" s="84" t="s">
        <v>82</v>
      </c>
      <c r="D225" s="85"/>
      <c r="E225" s="21">
        <f>83*Оглавление!H29</f>
        <v>49800</v>
      </c>
    </row>
    <row r="226" spans="1:5" ht="12.75" customHeight="1">
      <c r="A226" s="24" t="s">
        <v>328</v>
      </c>
      <c r="B226" s="47"/>
      <c r="C226" s="84" t="s">
        <v>83</v>
      </c>
      <c r="D226" s="85"/>
      <c r="E226" s="21">
        <f>155*Оглавление!H29</f>
        <v>93000</v>
      </c>
    </row>
    <row r="227" spans="1:5" ht="12.75" customHeight="1">
      <c r="A227" s="24" t="s">
        <v>329</v>
      </c>
      <c r="B227" s="47"/>
      <c r="C227" s="84" t="s">
        <v>84</v>
      </c>
      <c r="D227" s="85"/>
      <c r="E227" s="21">
        <f>131.25*Оглавление!H29</f>
        <v>78750</v>
      </c>
    </row>
    <row r="228" spans="1:5" ht="12.75" customHeight="1">
      <c r="A228" s="24" t="s">
        <v>330</v>
      </c>
      <c r="B228" s="47"/>
      <c r="C228" s="84" t="s">
        <v>85</v>
      </c>
      <c r="D228" s="85"/>
      <c r="E228" s="21">
        <f>190*Оглавление!H29</f>
        <v>114000</v>
      </c>
    </row>
    <row r="229" spans="1:5" ht="21.6" customHeight="1">
      <c r="A229" s="16" t="s">
        <v>331</v>
      </c>
      <c r="B229" s="47"/>
      <c r="C229" s="84" t="s">
        <v>86</v>
      </c>
      <c r="D229" s="85"/>
      <c r="E229" s="21">
        <f>227*Оглавление!H29</f>
        <v>136200</v>
      </c>
    </row>
    <row r="230" spans="1:5" ht="12.75" customHeight="1">
      <c r="A230" s="24" t="s">
        <v>330</v>
      </c>
      <c r="B230" s="47"/>
      <c r="C230" s="84" t="s">
        <v>85</v>
      </c>
      <c r="D230" s="85"/>
      <c r="E230" s="21">
        <f>190*Оглавление!H29</f>
        <v>114000</v>
      </c>
    </row>
    <row r="231" spans="1:5" ht="21.6" customHeight="1">
      <c r="A231" s="16" t="s">
        <v>331</v>
      </c>
      <c r="B231" s="47"/>
      <c r="C231" s="84" t="s">
        <v>86</v>
      </c>
      <c r="D231" s="85"/>
      <c r="E231" s="21">
        <f>227*Оглавление!H29</f>
        <v>136200</v>
      </c>
    </row>
    <row r="232" spans="1:5" ht="49.95" customHeight="1">
      <c r="A232" s="16" t="s">
        <v>404</v>
      </c>
      <c r="B232" s="47"/>
      <c r="C232" s="84" t="s">
        <v>212</v>
      </c>
      <c r="D232" s="85"/>
      <c r="E232" s="21">
        <f>1053.25*Оглавление!H29</f>
        <v>631950</v>
      </c>
    </row>
    <row r="233" spans="1:5" ht="12.75" customHeight="1"/>
    <row r="234" spans="1:5" ht="12.75" customHeight="1"/>
    <row r="235" spans="1:5" ht="12.75" customHeight="1"/>
    <row r="236" spans="1:5" ht="12.75" customHeight="1"/>
    <row r="237" spans="1:5" ht="12.75" customHeight="1"/>
    <row r="238" spans="1:5" ht="12.75" customHeight="1"/>
    <row r="239" spans="1:5" ht="12.75" customHeight="1"/>
    <row r="240" spans="1:5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</sheetData>
  <mergeCells count="232">
    <mergeCell ref="C232:D232"/>
    <mergeCell ref="C226:D226"/>
    <mergeCell ref="C227:D227"/>
    <mergeCell ref="C228:D228"/>
    <mergeCell ref="C229:D229"/>
    <mergeCell ref="C230:D230"/>
    <mergeCell ref="C221:D221"/>
    <mergeCell ref="C222:D222"/>
    <mergeCell ref="C223:D223"/>
    <mergeCell ref="C224:D224"/>
    <mergeCell ref="C225:D225"/>
    <mergeCell ref="C217:D217"/>
    <mergeCell ref="C218:D218"/>
    <mergeCell ref="C219:D219"/>
    <mergeCell ref="C220:D220"/>
    <mergeCell ref="C213:D213"/>
    <mergeCell ref="C214:D214"/>
    <mergeCell ref="C215:D215"/>
    <mergeCell ref="C216:D216"/>
    <mergeCell ref="C231:D231"/>
    <mergeCell ref="C208:D208"/>
    <mergeCell ref="C209:D209"/>
    <mergeCell ref="C210:D210"/>
    <mergeCell ref="C211:D211"/>
    <mergeCell ref="C212:D212"/>
    <mergeCell ref="C203:D203"/>
    <mergeCell ref="C204:D204"/>
    <mergeCell ref="C205:D205"/>
    <mergeCell ref="C206:D206"/>
    <mergeCell ref="C207:D207"/>
    <mergeCell ref="C199:D199"/>
    <mergeCell ref="C200:D200"/>
    <mergeCell ref="C201:D201"/>
    <mergeCell ref="C202:D202"/>
    <mergeCell ref="C194:D194"/>
    <mergeCell ref="C195:D195"/>
    <mergeCell ref="C196:D196"/>
    <mergeCell ref="C197:D197"/>
    <mergeCell ref="C198:D198"/>
    <mergeCell ref="C190:D190"/>
    <mergeCell ref="C191:D191"/>
    <mergeCell ref="C192:D192"/>
    <mergeCell ref="C193:D193"/>
    <mergeCell ref="C180:D180"/>
    <mergeCell ref="C181:D181"/>
    <mergeCell ref="C187:D187"/>
    <mergeCell ref="C188:D188"/>
    <mergeCell ref="C189:D189"/>
    <mergeCell ref="C182:D182"/>
    <mergeCell ref="C183:D183"/>
    <mergeCell ref="C184:D184"/>
    <mergeCell ref="C185:D185"/>
    <mergeCell ref="C186:D186"/>
    <mergeCell ref="C178:D178"/>
    <mergeCell ref="C179:D179"/>
    <mergeCell ref="C176:D176"/>
    <mergeCell ref="C170:D170"/>
    <mergeCell ref="C171:D171"/>
    <mergeCell ref="C172:D172"/>
    <mergeCell ref="C173:D173"/>
    <mergeCell ref="C174:D174"/>
    <mergeCell ref="C175:D175"/>
    <mergeCell ref="C166:D166"/>
    <mergeCell ref="C167:D167"/>
    <mergeCell ref="C168:D168"/>
    <mergeCell ref="C169:D169"/>
    <mergeCell ref="C161:D161"/>
    <mergeCell ref="C162:D162"/>
    <mergeCell ref="C163:D163"/>
    <mergeCell ref="C164:D164"/>
    <mergeCell ref="C177:D177"/>
    <mergeCell ref="C158:D158"/>
    <mergeCell ref="C159:D159"/>
    <mergeCell ref="C160:D160"/>
    <mergeCell ref="C153:D153"/>
    <mergeCell ref="C154:D154"/>
    <mergeCell ref="C155:D155"/>
    <mergeCell ref="C156:D156"/>
    <mergeCell ref="C157:D157"/>
    <mergeCell ref="C165:D165"/>
    <mergeCell ref="C148:D148"/>
    <mergeCell ref="C149:D149"/>
    <mergeCell ref="C150:D150"/>
    <mergeCell ref="C151:D151"/>
    <mergeCell ref="C152:D152"/>
    <mergeCell ref="C143:D143"/>
    <mergeCell ref="C144:D144"/>
    <mergeCell ref="C145:D145"/>
    <mergeCell ref="C146:D146"/>
    <mergeCell ref="C147:D147"/>
    <mergeCell ref="C139:D139"/>
    <mergeCell ref="C140:D140"/>
    <mergeCell ref="C141:D141"/>
    <mergeCell ref="C142:D142"/>
    <mergeCell ref="C132:D132"/>
    <mergeCell ref="C133:D133"/>
    <mergeCell ref="C134:D134"/>
    <mergeCell ref="C135:D135"/>
    <mergeCell ref="C136:D136"/>
    <mergeCell ref="C131:D131"/>
    <mergeCell ref="C118:D118"/>
    <mergeCell ref="C119:D119"/>
    <mergeCell ref="C120:D120"/>
    <mergeCell ref="C121:D121"/>
    <mergeCell ref="C122:D122"/>
    <mergeCell ref="C125:D125"/>
    <mergeCell ref="C137:D137"/>
    <mergeCell ref="C138:D138"/>
    <mergeCell ref="C117:D117"/>
    <mergeCell ref="C123:D123"/>
    <mergeCell ref="C124:D124"/>
    <mergeCell ref="C112:D112"/>
    <mergeCell ref="C126:D126"/>
    <mergeCell ref="C127:D127"/>
    <mergeCell ref="C128:D128"/>
    <mergeCell ref="C129:D129"/>
    <mergeCell ref="C130:D130"/>
    <mergeCell ref="C91:D91"/>
    <mergeCell ref="C92:D92"/>
    <mergeCell ref="C88:D88"/>
    <mergeCell ref="C89:D89"/>
    <mergeCell ref="C90:D90"/>
    <mergeCell ref="C113:D113"/>
    <mergeCell ref="C114:D114"/>
    <mergeCell ref="C115:D115"/>
    <mergeCell ref="C116:D116"/>
    <mergeCell ref="C109:D109"/>
    <mergeCell ref="C110:D110"/>
    <mergeCell ref="C111:D111"/>
    <mergeCell ref="C107:D107"/>
    <mergeCell ref="C108:D108"/>
    <mergeCell ref="C106:D106"/>
    <mergeCell ref="C101:D101"/>
    <mergeCell ref="C102:D102"/>
    <mergeCell ref="C103:D103"/>
    <mergeCell ref="C104:D104"/>
    <mergeCell ref="C100:D100"/>
    <mergeCell ref="C96:D96"/>
    <mergeCell ref="C97:D97"/>
    <mergeCell ref="C98:D98"/>
    <mergeCell ref="C99:D99"/>
    <mergeCell ref="C84:D84"/>
    <mergeCell ref="C85:D85"/>
    <mergeCell ref="C86:D86"/>
    <mergeCell ref="C87:D87"/>
    <mergeCell ref="C78:D78"/>
    <mergeCell ref="C79:D79"/>
    <mergeCell ref="C80:D80"/>
    <mergeCell ref="C81:D81"/>
    <mergeCell ref="C82:D82"/>
    <mergeCell ref="C83:D83"/>
    <mergeCell ref="C74:D74"/>
    <mergeCell ref="C75:D75"/>
    <mergeCell ref="C76:D76"/>
    <mergeCell ref="C77:D77"/>
    <mergeCell ref="C68:D68"/>
    <mergeCell ref="C69:D69"/>
    <mergeCell ref="C70:D70"/>
    <mergeCell ref="C71:D71"/>
    <mergeCell ref="C72:D72"/>
    <mergeCell ref="C73:D73"/>
    <mergeCell ref="C63:D63"/>
    <mergeCell ref="C64:D64"/>
    <mergeCell ref="C65:D65"/>
    <mergeCell ref="C66:D66"/>
    <mergeCell ref="C67:D67"/>
    <mergeCell ref="C57:D57"/>
    <mergeCell ref="C58:D58"/>
    <mergeCell ref="C59:D59"/>
    <mergeCell ref="C60:D60"/>
    <mergeCell ref="C61:D61"/>
    <mergeCell ref="C53:D53"/>
    <mergeCell ref="C54:D54"/>
    <mergeCell ref="C55:D55"/>
    <mergeCell ref="C56:D56"/>
    <mergeCell ref="C47:D47"/>
    <mergeCell ref="C48:D48"/>
    <mergeCell ref="C49:D49"/>
    <mergeCell ref="C50:D50"/>
    <mergeCell ref="C62:D62"/>
    <mergeCell ref="C51:D51"/>
    <mergeCell ref="C29:D29"/>
    <mergeCell ref="C30:D30"/>
    <mergeCell ref="C31:D31"/>
    <mergeCell ref="C32:D32"/>
    <mergeCell ref="C33:D33"/>
    <mergeCell ref="C34:D34"/>
    <mergeCell ref="C41:D41"/>
    <mergeCell ref="C42:D42"/>
    <mergeCell ref="C43:D43"/>
    <mergeCell ref="C44:D44"/>
    <mergeCell ref="C45:D45"/>
    <mergeCell ref="C46:D46"/>
    <mergeCell ref="C35:D35"/>
    <mergeCell ref="C36:D36"/>
    <mergeCell ref="C37:D37"/>
    <mergeCell ref="C38:D38"/>
    <mergeCell ref="C39:D39"/>
    <mergeCell ref="C40:D40"/>
    <mergeCell ref="C10:D10"/>
    <mergeCell ref="C15:D15"/>
    <mergeCell ref="C16:D16"/>
    <mergeCell ref="C17:D17"/>
    <mergeCell ref="C11:D11"/>
    <mergeCell ref="C12:D12"/>
    <mergeCell ref="C13:D13"/>
    <mergeCell ref="C14:D14"/>
    <mergeCell ref="C105:D105"/>
    <mergeCell ref="C93:D93"/>
    <mergeCell ref="C94:D94"/>
    <mergeCell ref="C95:D95"/>
    <mergeCell ref="C18:D18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52:D52"/>
    <mergeCell ref="A1:E1"/>
    <mergeCell ref="C2:D2"/>
    <mergeCell ref="C3:D3"/>
    <mergeCell ref="C4:D4"/>
    <mergeCell ref="C5:D5"/>
    <mergeCell ref="C6:D6"/>
    <mergeCell ref="C7:D7"/>
    <mergeCell ref="C8:D8"/>
    <mergeCell ref="C9:D9"/>
  </mergeCell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6600"/>
  </sheetPr>
  <dimension ref="A1:L1020"/>
  <sheetViews>
    <sheetView workbookViewId="0">
      <selection activeCell="E4" sqref="E4"/>
    </sheetView>
  </sheetViews>
  <sheetFormatPr defaultColWidth="14.44140625" defaultRowHeight="15" customHeight="1"/>
  <cols>
    <col min="1" max="1" width="18.44140625" customWidth="1"/>
    <col min="2" max="2" width="21.44140625" customWidth="1"/>
    <col min="3" max="3" width="19.6640625" customWidth="1"/>
    <col min="4" max="4" width="78" customWidth="1"/>
    <col min="5" max="5" width="11.44140625" customWidth="1"/>
    <col min="6" max="7" width="8.88671875" customWidth="1"/>
    <col min="8" max="11" width="8" customWidth="1"/>
    <col min="12" max="12" width="10.109375" customWidth="1"/>
    <col min="13" max="27" width="8" customWidth="1"/>
  </cols>
  <sheetData>
    <row r="1" spans="1:12" ht="12.75" customHeight="1" thickBot="1">
      <c r="A1" s="96"/>
      <c r="B1" s="96"/>
      <c r="C1" s="71"/>
      <c r="D1" s="71"/>
      <c r="E1" s="71"/>
    </row>
    <row r="2" spans="1:12" ht="20.25" customHeight="1" thickBot="1">
      <c r="A2" s="19" t="s">
        <v>12</v>
      </c>
      <c r="B2" s="45" t="s">
        <v>503</v>
      </c>
      <c r="C2" s="97" t="s">
        <v>502</v>
      </c>
      <c r="D2" s="98"/>
      <c r="E2" s="20" t="s">
        <v>44</v>
      </c>
    </row>
    <row r="3" spans="1:12" ht="16.5" customHeight="1" thickBot="1">
      <c r="A3" s="99" t="s">
        <v>43</v>
      </c>
      <c r="B3" s="100"/>
      <c r="C3" s="82"/>
      <c r="D3" s="82"/>
      <c r="E3" s="83"/>
    </row>
    <row r="4" spans="1:12" ht="55.95" customHeight="1" thickBot="1">
      <c r="A4" s="25" t="s">
        <v>301</v>
      </c>
      <c r="B4" s="49" t="s">
        <v>504</v>
      </c>
      <c r="C4" s="92" t="s">
        <v>590</v>
      </c>
      <c r="D4" s="91"/>
      <c r="E4" s="14">
        <f>2448*Оглавление!H29</f>
        <v>1468800</v>
      </c>
    </row>
    <row r="5" spans="1:12" ht="57.6" customHeight="1" thickBot="1">
      <c r="A5" s="26" t="s">
        <v>302</v>
      </c>
      <c r="B5" s="50" t="s">
        <v>505</v>
      </c>
      <c r="C5" s="94" t="s">
        <v>506</v>
      </c>
      <c r="D5" s="101"/>
      <c r="E5" s="15">
        <f>3210*Оглавление!H29</f>
        <v>1926000</v>
      </c>
      <c r="L5" s="37"/>
    </row>
    <row r="6" spans="1:12" ht="22.2" customHeight="1" thickBot="1">
      <c r="A6" s="25" t="s">
        <v>303</v>
      </c>
      <c r="B6" s="49" t="s">
        <v>507</v>
      </c>
      <c r="C6" s="90" t="s">
        <v>48</v>
      </c>
      <c r="D6" s="91"/>
      <c r="E6" s="14">
        <f>3385*Оглавление!H29</f>
        <v>2031000</v>
      </c>
      <c r="L6" s="37"/>
    </row>
    <row r="7" spans="1:12" ht="22.2" customHeight="1" thickBot="1">
      <c r="A7" s="25" t="s">
        <v>304</v>
      </c>
      <c r="B7" s="49" t="s">
        <v>508</v>
      </c>
      <c r="C7" s="92" t="s">
        <v>45</v>
      </c>
      <c r="D7" s="93"/>
      <c r="E7" s="14">
        <f>3035*Оглавление!H29</f>
        <v>1821000</v>
      </c>
    </row>
    <row r="8" spans="1:12" ht="22.2" customHeight="1" thickBot="1">
      <c r="A8" s="25" t="s">
        <v>305</v>
      </c>
      <c r="B8" s="49" t="s">
        <v>513</v>
      </c>
      <c r="C8" s="92" t="s">
        <v>47</v>
      </c>
      <c r="D8" s="93"/>
      <c r="E8" s="14">
        <f>3735*Оглавление!H29</f>
        <v>2241000</v>
      </c>
    </row>
    <row r="9" spans="1:12" ht="22.2" customHeight="1" thickBot="1">
      <c r="A9" s="26" t="s">
        <v>306</v>
      </c>
      <c r="B9" s="46" t="s">
        <v>509</v>
      </c>
      <c r="C9" s="94" t="s">
        <v>49</v>
      </c>
      <c r="D9" s="95"/>
      <c r="E9" s="15">
        <f>4140*Оглавление!H29</f>
        <v>2484000</v>
      </c>
    </row>
    <row r="10" spans="1:12" ht="22.2" customHeight="1" thickBot="1">
      <c r="A10" s="26" t="s">
        <v>307</v>
      </c>
      <c r="B10" s="46" t="s">
        <v>510</v>
      </c>
      <c r="C10" s="94" t="s">
        <v>46</v>
      </c>
      <c r="D10" s="95"/>
      <c r="E10" s="15">
        <f>3790*Оглавление!H29</f>
        <v>2274000</v>
      </c>
    </row>
    <row r="11" spans="1:12" ht="22.2" customHeight="1" thickBot="1">
      <c r="A11" s="26" t="s">
        <v>308</v>
      </c>
      <c r="B11" s="46" t="s">
        <v>511</v>
      </c>
      <c r="C11" s="94" t="s">
        <v>50</v>
      </c>
      <c r="D11" s="95"/>
      <c r="E11" s="15">
        <f>4490*Оглавление!H29</f>
        <v>2694000</v>
      </c>
    </row>
    <row r="12" spans="1:12" ht="16.5" customHeight="1" thickBot="1">
      <c r="A12" s="88" t="s">
        <v>13</v>
      </c>
      <c r="B12" s="89"/>
      <c r="C12" s="82"/>
      <c r="D12" s="82"/>
      <c r="E12" s="83"/>
    </row>
    <row r="13" spans="1:12" ht="45" customHeight="1">
      <c r="A13" s="29" t="s">
        <v>309</v>
      </c>
      <c r="B13" s="51" t="s">
        <v>51</v>
      </c>
      <c r="C13" s="103" t="s">
        <v>54</v>
      </c>
      <c r="D13" s="104"/>
      <c r="E13" s="21">
        <f>101.37*Оглавление!H29</f>
        <v>60822</v>
      </c>
    </row>
    <row r="14" spans="1:12" ht="52.2" customHeight="1">
      <c r="A14" s="16" t="s">
        <v>310</v>
      </c>
      <c r="B14" s="53" t="s">
        <v>52</v>
      </c>
      <c r="C14" s="105" t="s">
        <v>56</v>
      </c>
      <c r="D14" s="106"/>
      <c r="E14" s="21">
        <f>112.53*Оглавление!H29</f>
        <v>67518</v>
      </c>
    </row>
    <row r="15" spans="1:12" ht="58.2" customHeight="1">
      <c r="A15" s="52" t="s">
        <v>311</v>
      </c>
      <c r="B15" s="51" t="s">
        <v>512</v>
      </c>
      <c r="C15" s="105" t="s">
        <v>57</v>
      </c>
      <c r="D15" s="102"/>
      <c r="E15" s="21">
        <f>94.86*Оглавление!H29</f>
        <v>56916</v>
      </c>
    </row>
    <row r="16" spans="1:12" ht="55.2" customHeight="1">
      <c r="A16" s="17" t="s">
        <v>312</v>
      </c>
      <c r="B16" s="8" t="s">
        <v>53</v>
      </c>
      <c r="C16" s="105" t="s">
        <v>58</v>
      </c>
      <c r="D16" s="102"/>
      <c r="E16" s="21">
        <f>93.93*Оглавление!H29</f>
        <v>56358.000000000007</v>
      </c>
    </row>
    <row r="17" spans="1:5" ht="24.75" customHeight="1">
      <c r="A17" s="17" t="s">
        <v>313</v>
      </c>
      <c r="B17" s="8" t="s">
        <v>53</v>
      </c>
      <c r="C17" s="84" t="s">
        <v>59</v>
      </c>
      <c r="D17" s="102"/>
      <c r="E17" s="21">
        <f>83.7*Оглавление!H29</f>
        <v>50220</v>
      </c>
    </row>
    <row r="18" spans="1:5" ht="19.95" customHeight="1">
      <c r="A18" s="17" t="s">
        <v>314</v>
      </c>
      <c r="B18" s="8" t="s">
        <v>63</v>
      </c>
      <c r="C18" s="84" t="s">
        <v>55</v>
      </c>
      <c r="D18" s="102"/>
      <c r="E18" s="21">
        <f>34.25*Оглавление!H29</f>
        <v>20550</v>
      </c>
    </row>
    <row r="19" spans="1:5" ht="58.95" customHeight="1">
      <c r="A19" s="17" t="s">
        <v>315</v>
      </c>
      <c r="B19" s="8" t="s">
        <v>60</v>
      </c>
      <c r="C19" s="84" t="s">
        <v>64</v>
      </c>
      <c r="D19" s="102"/>
      <c r="E19" s="21">
        <f>61*Оглавление!H29</f>
        <v>36600</v>
      </c>
    </row>
    <row r="20" spans="1:5" ht="56.4" customHeight="1">
      <c r="A20" s="17" t="s">
        <v>316</v>
      </c>
      <c r="B20" s="8" t="s">
        <v>61</v>
      </c>
      <c r="C20" s="84" t="s">
        <v>65</v>
      </c>
      <c r="D20" s="102"/>
      <c r="E20" s="21">
        <f>35.25*Оглавление!H29</f>
        <v>21150</v>
      </c>
    </row>
    <row r="21" spans="1:5" ht="64.95" customHeight="1">
      <c r="A21" s="12">
        <v>45106</v>
      </c>
      <c r="B21" s="8" t="s">
        <v>62</v>
      </c>
      <c r="C21" s="84" t="s">
        <v>66</v>
      </c>
      <c r="D21" s="102"/>
      <c r="E21" s="21">
        <f>65*Оглавление!H29</f>
        <v>39000</v>
      </c>
    </row>
    <row r="22" spans="1:5" ht="62.4" customHeight="1">
      <c r="A22" s="17" t="s">
        <v>317</v>
      </c>
      <c r="B22" s="8" t="s">
        <v>68</v>
      </c>
      <c r="C22" s="84" t="s">
        <v>70</v>
      </c>
      <c r="D22" s="102"/>
      <c r="E22" s="21">
        <f>67*Оглавление!H29</f>
        <v>40200</v>
      </c>
    </row>
    <row r="23" spans="1:5" ht="64.2" customHeight="1">
      <c r="A23" s="17" t="s">
        <v>318</v>
      </c>
      <c r="B23" s="8" t="s">
        <v>67</v>
      </c>
      <c r="C23" s="84" t="s">
        <v>72</v>
      </c>
      <c r="D23" s="102"/>
      <c r="E23" s="21">
        <f>145*Оглавление!H29</f>
        <v>87000</v>
      </c>
    </row>
    <row r="24" spans="1:5" ht="57.6" customHeight="1" thickBot="1">
      <c r="A24" s="12">
        <v>45117</v>
      </c>
      <c r="B24" s="8" t="s">
        <v>69</v>
      </c>
      <c r="C24" s="84" t="s">
        <v>71</v>
      </c>
      <c r="D24" s="102"/>
      <c r="E24" s="21">
        <f>27.25*Оглавление!H29</f>
        <v>16350</v>
      </c>
    </row>
    <row r="25" spans="1:5" ht="16.5" customHeight="1" thickBot="1">
      <c r="A25" s="80" t="s">
        <v>76</v>
      </c>
      <c r="B25" s="81"/>
      <c r="C25" s="82"/>
      <c r="D25" s="82"/>
      <c r="E25" s="83"/>
    </row>
    <row r="26" spans="1:5" ht="56.4" customHeight="1">
      <c r="A26" s="16" t="s">
        <v>319</v>
      </c>
      <c r="B26" s="47"/>
      <c r="C26" s="84" t="s">
        <v>73</v>
      </c>
      <c r="D26" s="85"/>
      <c r="E26" s="21">
        <f>91*Оглавление!H29</f>
        <v>54600</v>
      </c>
    </row>
    <row r="27" spans="1:5" ht="54" customHeight="1">
      <c r="A27" s="17" t="s">
        <v>320</v>
      </c>
      <c r="B27" s="48"/>
      <c r="C27" s="84" t="s">
        <v>596</v>
      </c>
      <c r="D27" s="85"/>
      <c r="E27" s="21">
        <f>36.5*Оглавление!H29</f>
        <v>21900</v>
      </c>
    </row>
    <row r="28" spans="1:5" ht="27.6" customHeight="1">
      <c r="A28" s="17" t="s">
        <v>321</v>
      </c>
      <c r="B28" s="48"/>
      <c r="C28" s="84" t="s">
        <v>74</v>
      </c>
      <c r="D28" s="85"/>
      <c r="E28" s="21">
        <f>74*Оглавление!H29</f>
        <v>44400</v>
      </c>
    </row>
    <row r="29" spans="1:5" ht="24" customHeight="1" thickBot="1">
      <c r="A29" s="17" t="s">
        <v>322</v>
      </c>
      <c r="B29" s="48"/>
      <c r="C29" s="84" t="s">
        <v>597</v>
      </c>
      <c r="D29" s="85"/>
      <c r="E29" s="21">
        <f>60*Оглавление!H29</f>
        <v>36000</v>
      </c>
    </row>
    <row r="30" spans="1:5" ht="16.5" customHeight="1" thickBot="1">
      <c r="A30" s="80" t="s">
        <v>77</v>
      </c>
      <c r="B30" s="81"/>
      <c r="C30" s="82"/>
      <c r="D30" s="82"/>
      <c r="E30" s="83"/>
    </row>
    <row r="31" spans="1:5" ht="20.25" customHeight="1" thickBot="1">
      <c r="A31" s="17" t="s">
        <v>323</v>
      </c>
      <c r="B31" s="47" t="s">
        <v>521</v>
      </c>
      <c r="C31" s="86" t="s">
        <v>195</v>
      </c>
      <c r="D31" s="87"/>
      <c r="E31" s="21">
        <f>884*Оглавление!H29</f>
        <v>530400</v>
      </c>
    </row>
    <row r="32" spans="1:5" ht="12.75" customHeight="1" thickBot="1">
      <c r="A32" s="80" t="s">
        <v>78</v>
      </c>
      <c r="B32" s="81"/>
      <c r="C32" s="82"/>
      <c r="D32" s="82"/>
      <c r="E32" s="83"/>
    </row>
    <row r="33" spans="1:5" ht="57" customHeight="1">
      <c r="A33" s="16" t="s">
        <v>324</v>
      </c>
      <c r="B33" s="47"/>
      <c r="C33" s="84" t="s">
        <v>79</v>
      </c>
      <c r="D33" s="85"/>
      <c r="E33" s="21">
        <f>252*Оглавление!H29</f>
        <v>151200</v>
      </c>
    </row>
    <row r="34" spans="1:5" ht="58.2" customHeight="1">
      <c r="A34" s="24" t="s">
        <v>325</v>
      </c>
      <c r="B34" s="47"/>
      <c r="C34" s="84" t="s">
        <v>80</v>
      </c>
      <c r="D34" s="85"/>
      <c r="E34" s="21">
        <f>252*Оглавление!H29</f>
        <v>151200</v>
      </c>
    </row>
    <row r="35" spans="1:5" ht="12.75" customHeight="1">
      <c r="A35" s="24" t="s">
        <v>326</v>
      </c>
      <c r="B35" s="47"/>
      <c r="C35" s="84" t="s">
        <v>81</v>
      </c>
      <c r="D35" s="85"/>
      <c r="E35" s="21">
        <f>151.25*Оглавление!H29</f>
        <v>90750</v>
      </c>
    </row>
    <row r="36" spans="1:5" ht="12.75" customHeight="1">
      <c r="A36" s="24" t="s">
        <v>327</v>
      </c>
      <c r="B36" s="47"/>
      <c r="C36" s="84" t="s">
        <v>82</v>
      </c>
      <c r="D36" s="85"/>
      <c r="E36" s="21">
        <f>83*Оглавление!H29</f>
        <v>49800</v>
      </c>
    </row>
    <row r="37" spans="1:5" ht="12.75" customHeight="1">
      <c r="A37" s="24" t="s">
        <v>328</v>
      </c>
      <c r="B37" s="47"/>
      <c r="C37" s="84" t="s">
        <v>83</v>
      </c>
      <c r="D37" s="85"/>
      <c r="E37" s="21">
        <f>155*Оглавление!H29</f>
        <v>93000</v>
      </c>
    </row>
    <row r="38" spans="1:5" ht="12.75" customHeight="1">
      <c r="A38" s="24" t="s">
        <v>329</v>
      </c>
      <c r="B38" s="47"/>
      <c r="C38" s="84" t="s">
        <v>84</v>
      </c>
      <c r="D38" s="85"/>
      <c r="E38" s="21">
        <f>131.25*Оглавление!H29</f>
        <v>78750</v>
      </c>
    </row>
    <row r="39" spans="1:5" ht="12.75" customHeight="1">
      <c r="A39" s="24" t="s">
        <v>330</v>
      </c>
      <c r="B39" s="47"/>
      <c r="C39" s="84" t="s">
        <v>85</v>
      </c>
      <c r="D39" s="85"/>
      <c r="E39" s="21">
        <f>190*Оглавление!H29</f>
        <v>114000</v>
      </c>
    </row>
    <row r="40" spans="1:5" ht="21.6" customHeight="1">
      <c r="A40" s="16" t="s">
        <v>331</v>
      </c>
      <c r="B40" s="47"/>
      <c r="C40" s="84" t="s">
        <v>86</v>
      </c>
      <c r="D40" s="85"/>
      <c r="E40" s="21">
        <f>227*Оглавление!H29</f>
        <v>136200</v>
      </c>
    </row>
    <row r="41" spans="1:5" ht="12.75" customHeight="1"/>
    <row r="42" spans="1:5" ht="12.75" customHeight="1"/>
    <row r="43" spans="1:5" ht="12.75" customHeight="1"/>
    <row r="44" spans="1:5" ht="12.75" customHeight="1"/>
    <row r="45" spans="1:5" ht="12.75" customHeight="1"/>
    <row r="46" spans="1:5" ht="12.75" customHeight="1"/>
    <row r="47" spans="1:5" ht="12.75" customHeight="1"/>
    <row r="48" spans="1:5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  <row r="1001" ht="12.75" customHeight="1"/>
    <row r="1002" ht="12.75" customHeight="1"/>
    <row r="1003" ht="12.75" customHeight="1"/>
    <row r="1004" ht="12.75" customHeight="1"/>
    <row r="1005" ht="12.75" customHeight="1"/>
    <row r="1006" ht="12.75" customHeight="1"/>
    <row r="1007" ht="12.75" customHeight="1"/>
    <row r="1008" ht="12.75" customHeight="1"/>
    <row r="1009" ht="12.75" customHeight="1"/>
    <row r="1010" ht="12.75" customHeight="1"/>
    <row r="1011" ht="12.75" customHeight="1"/>
    <row r="1012" ht="12.75" customHeight="1"/>
    <row r="1013" ht="12.75" customHeight="1"/>
    <row r="1014" ht="12.75" customHeight="1"/>
    <row r="1015" ht="12.75" customHeight="1"/>
    <row r="1016" ht="12.75" customHeight="1"/>
    <row r="1017" ht="12.75" customHeight="1"/>
    <row r="1018" ht="12.75" customHeight="1"/>
    <row r="1019" ht="12.75" customHeight="1"/>
    <row r="1020" ht="12.75" customHeight="1"/>
  </sheetData>
  <mergeCells count="40">
    <mergeCell ref="C24:D24"/>
    <mergeCell ref="C13:D13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C23:D23"/>
    <mergeCell ref="A1:E1"/>
    <mergeCell ref="C2:D2"/>
    <mergeCell ref="A3:E3"/>
    <mergeCell ref="C4:D4"/>
    <mergeCell ref="C5:D5"/>
    <mergeCell ref="A12:E12"/>
    <mergeCell ref="C6:D6"/>
    <mergeCell ref="C7:D7"/>
    <mergeCell ref="C11:D11"/>
    <mergeCell ref="C9:D9"/>
    <mergeCell ref="C8:D8"/>
    <mergeCell ref="C10:D10"/>
    <mergeCell ref="A25:E25"/>
    <mergeCell ref="C26:D26"/>
    <mergeCell ref="A32:E32"/>
    <mergeCell ref="C33:D33"/>
    <mergeCell ref="C40:D40"/>
    <mergeCell ref="C34:D34"/>
    <mergeCell ref="C35:D35"/>
    <mergeCell ref="C36:D36"/>
    <mergeCell ref="C37:D37"/>
    <mergeCell ref="C38:D38"/>
    <mergeCell ref="C39:D39"/>
    <mergeCell ref="C27:D27"/>
    <mergeCell ref="C28:D28"/>
    <mergeCell ref="C29:D29"/>
    <mergeCell ref="A30:E30"/>
    <mergeCell ref="C31:D31"/>
  </mergeCells>
  <phoneticPr fontId="15" type="noConversion"/>
  <pageMargins left="0.7" right="0.7" top="0.75" bottom="0.75" header="0" footer="0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D4A163-C144-4FE5-9E3C-B4058CBA8D81}">
  <sheetPr>
    <tabColor theme="6" tint="0.39997558519241921"/>
  </sheetPr>
  <dimension ref="A1:AA1018"/>
  <sheetViews>
    <sheetView topLeftCell="A22" workbookViewId="0">
      <selection activeCell="A28" sqref="A28:E28"/>
    </sheetView>
  </sheetViews>
  <sheetFormatPr defaultColWidth="14.44140625" defaultRowHeight="15" customHeight="1"/>
  <cols>
    <col min="1" max="2" width="18.44140625" customWidth="1"/>
    <col min="3" max="3" width="19.6640625" customWidth="1"/>
    <col min="4" max="4" width="78" customWidth="1"/>
    <col min="5" max="5" width="11.44140625" customWidth="1"/>
    <col min="6" max="7" width="8.88671875" customWidth="1"/>
    <col min="8" max="27" width="8" customWidth="1"/>
  </cols>
  <sheetData>
    <row r="1" spans="1:27" ht="12.75" customHeight="1" thickBot="1">
      <c r="A1" s="96"/>
      <c r="B1" s="96"/>
      <c r="C1" s="71"/>
      <c r="D1" s="71"/>
      <c r="E1" s="71"/>
    </row>
    <row r="2" spans="1:27" ht="20.25" customHeight="1" thickBot="1">
      <c r="A2" s="19" t="s">
        <v>12</v>
      </c>
      <c r="B2" s="45" t="s">
        <v>503</v>
      </c>
      <c r="C2" s="97" t="s">
        <v>502</v>
      </c>
      <c r="D2" s="98"/>
      <c r="E2" s="20" t="s">
        <v>44</v>
      </c>
    </row>
    <row r="3" spans="1:27" ht="16.5" customHeight="1" thickBot="1">
      <c r="A3" s="99" t="s">
        <v>87</v>
      </c>
      <c r="B3" s="100"/>
      <c r="C3" s="82"/>
      <c r="D3" s="82"/>
      <c r="E3" s="83"/>
    </row>
    <row r="4" spans="1:27" ht="55.95" customHeight="1" thickBot="1">
      <c r="A4" s="25" t="s">
        <v>332</v>
      </c>
      <c r="B4" s="49" t="s">
        <v>514</v>
      </c>
      <c r="C4" s="115" t="s">
        <v>92</v>
      </c>
      <c r="D4" s="116"/>
      <c r="E4" s="14">
        <f>2627.38*Оглавление!H29</f>
        <v>1576428</v>
      </c>
    </row>
    <row r="5" spans="1:27" ht="57.6" customHeight="1" thickBot="1">
      <c r="A5" s="26" t="s">
        <v>333</v>
      </c>
      <c r="B5" s="54" t="s">
        <v>515</v>
      </c>
      <c r="C5" s="117" t="s">
        <v>93</v>
      </c>
      <c r="D5" s="118"/>
      <c r="E5" s="15">
        <f>3371.2*Оглавление!H29</f>
        <v>2022720</v>
      </c>
    </row>
    <row r="6" spans="1:27" ht="54.6" customHeight="1" thickBot="1">
      <c r="A6" s="25" t="s">
        <v>334</v>
      </c>
      <c r="B6" s="49" t="s">
        <v>516</v>
      </c>
      <c r="C6" s="90" t="s">
        <v>94</v>
      </c>
      <c r="D6" s="91"/>
      <c r="E6" s="14">
        <f>3317.3*Оглавление!H29</f>
        <v>1990380</v>
      </c>
    </row>
    <row r="7" spans="1:27" ht="51" customHeight="1" thickBot="1">
      <c r="A7" s="26" t="s">
        <v>335</v>
      </c>
      <c r="B7" s="54" t="s">
        <v>517</v>
      </c>
      <c r="C7" s="94" t="s">
        <v>95</v>
      </c>
      <c r="D7" s="95"/>
      <c r="E7" s="15">
        <f>4057.2*Оглавление!H29</f>
        <v>2434320</v>
      </c>
    </row>
    <row r="8" spans="1:27" ht="79.2" customHeight="1" thickBot="1">
      <c r="A8" s="26" t="s">
        <v>336</v>
      </c>
      <c r="B8" s="54" t="s">
        <v>518</v>
      </c>
      <c r="C8" s="94" t="s">
        <v>91</v>
      </c>
      <c r="D8" s="95"/>
      <c r="E8" s="15">
        <f>6227.9*Оглавление!H29</f>
        <v>3736740</v>
      </c>
    </row>
    <row r="9" spans="1:27" ht="49.2" customHeight="1" thickBot="1">
      <c r="A9" s="26" t="s">
        <v>337</v>
      </c>
      <c r="B9" s="54" t="s">
        <v>520</v>
      </c>
      <c r="C9" s="94" t="s">
        <v>96</v>
      </c>
      <c r="D9" s="95"/>
      <c r="E9" s="15">
        <f>6913.9*Оглавление!H29</f>
        <v>4148340</v>
      </c>
    </row>
    <row r="10" spans="1:27" ht="22.2" customHeight="1" thickBot="1">
      <c r="A10" s="27" t="s">
        <v>338</v>
      </c>
      <c r="B10" s="55" t="s">
        <v>519</v>
      </c>
      <c r="C10" s="113" t="s">
        <v>481</v>
      </c>
      <c r="D10" s="114"/>
      <c r="E10" s="28">
        <f>743.82*Оглавление!H29</f>
        <v>446292.00000000006</v>
      </c>
    </row>
    <row r="11" spans="1:27" ht="16.5" customHeight="1" thickBot="1">
      <c r="A11" s="88" t="s">
        <v>13</v>
      </c>
      <c r="B11" s="89"/>
      <c r="C11" s="82"/>
      <c r="D11" s="82"/>
      <c r="E11" s="83"/>
    </row>
    <row r="12" spans="1:27" ht="63.6" customHeight="1">
      <c r="A12" s="16" t="s">
        <v>98</v>
      </c>
      <c r="B12" s="24" t="s">
        <v>16</v>
      </c>
      <c r="C12" s="107" t="s">
        <v>97</v>
      </c>
      <c r="D12" s="108"/>
      <c r="E12" s="21">
        <f>185*Оглавление!H29</f>
        <v>111000</v>
      </c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27" ht="64.2" customHeight="1">
      <c r="A13" s="17" t="s">
        <v>339</v>
      </c>
      <c r="B13" s="17" t="s">
        <v>99</v>
      </c>
      <c r="C13" s="109" t="s">
        <v>100</v>
      </c>
      <c r="D13" s="110"/>
      <c r="E13" s="21">
        <f>250*Оглавление!H29</f>
        <v>150000</v>
      </c>
      <c r="F13" s="11"/>
    </row>
    <row r="14" spans="1:27" ht="36.6" customHeight="1">
      <c r="A14" s="17" t="s">
        <v>340</v>
      </c>
      <c r="B14" s="17" t="s">
        <v>15</v>
      </c>
      <c r="C14" s="109" t="s">
        <v>101</v>
      </c>
      <c r="D14" s="110"/>
      <c r="E14" s="21">
        <f>263*Оглавление!H29</f>
        <v>157800</v>
      </c>
    </row>
    <row r="15" spans="1:27" ht="49.95" customHeight="1">
      <c r="A15" s="17" t="s">
        <v>341</v>
      </c>
      <c r="B15" s="17" t="s">
        <v>102</v>
      </c>
      <c r="C15" s="109" t="s">
        <v>104</v>
      </c>
      <c r="D15" s="110"/>
      <c r="E15" s="21">
        <f>55*Оглавление!H29</f>
        <v>33000</v>
      </c>
    </row>
    <row r="16" spans="1:27" ht="27.6" customHeight="1" thickBot="1">
      <c r="A16" s="17" t="s">
        <v>342</v>
      </c>
      <c r="B16" s="17" t="s">
        <v>103</v>
      </c>
      <c r="C16" s="111" t="s">
        <v>105</v>
      </c>
      <c r="D16" s="112"/>
      <c r="E16" s="21">
        <f>102*Оглавление!H29</f>
        <v>61200</v>
      </c>
    </row>
    <row r="17" spans="1:5" ht="16.5" customHeight="1" thickBot="1">
      <c r="A17" s="80" t="s">
        <v>106</v>
      </c>
      <c r="B17" s="81"/>
      <c r="C17" s="82"/>
      <c r="D17" s="82"/>
      <c r="E17" s="83"/>
    </row>
    <row r="18" spans="1:5" ht="49.95" customHeight="1">
      <c r="A18" s="16" t="s">
        <v>343</v>
      </c>
      <c r="B18" s="47"/>
      <c r="C18" s="84" t="s">
        <v>107</v>
      </c>
      <c r="D18" s="85"/>
      <c r="E18" s="21">
        <f>96*Оглавление!H29</f>
        <v>57600</v>
      </c>
    </row>
    <row r="19" spans="1:5" ht="27.6" customHeight="1">
      <c r="A19" s="16" t="s">
        <v>344</v>
      </c>
      <c r="B19" s="47"/>
      <c r="C19" s="84" t="s">
        <v>108</v>
      </c>
      <c r="D19" s="85"/>
      <c r="E19" s="21">
        <f>96*Оглавление!H29</f>
        <v>57600</v>
      </c>
    </row>
    <row r="20" spans="1:5" ht="31.2" customHeight="1">
      <c r="A20" s="16" t="s">
        <v>345</v>
      </c>
      <c r="B20" s="47"/>
      <c r="C20" s="84" t="s">
        <v>109</v>
      </c>
      <c r="D20" s="85"/>
      <c r="E20" s="21">
        <f>179*Оглавление!H29</f>
        <v>107400</v>
      </c>
    </row>
    <row r="21" spans="1:5" ht="33.6" customHeight="1">
      <c r="A21" s="16" t="s">
        <v>346</v>
      </c>
      <c r="B21" s="47"/>
      <c r="C21" s="84" t="s">
        <v>110</v>
      </c>
      <c r="D21" s="85"/>
      <c r="E21" s="21">
        <f>179*Оглавление!H29</f>
        <v>107400</v>
      </c>
    </row>
    <row r="22" spans="1:5" ht="36.6" customHeight="1">
      <c r="A22" s="16" t="s">
        <v>347</v>
      </c>
      <c r="B22" s="47"/>
      <c r="C22" s="84" t="s">
        <v>111</v>
      </c>
      <c r="D22" s="85"/>
      <c r="E22" s="21">
        <f>86.75*Оглавление!H29</f>
        <v>52050</v>
      </c>
    </row>
    <row r="23" spans="1:5" ht="35.4" customHeight="1" thickBot="1">
      <c r="A23" s="16" t="s">
        <v>348</v>
      </c>
      <c r="B23" s="47"/>
      <c r="C23" s="84" t="s">
        <v>112</v>
      </c>
      <c r="D23" s="85"/>
      <c r="E23" s="21">
        <f>80*Оглавление!H29</f>
        <v>48000</v>
      </c>
    </row>
    <row r="24" spans="1:5" ht="16.5" customHeight="1" thickBot="1">
      <c r="A24" s="80" t="s">
        <v>90</v>
      </c>
      <c r="B24" s="81"/>
      <c r="C24" s="82"/>
      <c r="D24" s="82"/>
      <c r="E24" s="83"/>
    </row>
    <row r="25" spans="1:5" ht="56.4" customHeight="1">
      <c r="A25" s="16" t="s">
        <v>319</v>
      </c>
      <c r="B25" s="47"/>
      <c r="C25" s="84" t="s">
        <v>73</v>
      </c>
      <c r="D25" s="85"/>
      <c r="E25" s="21">
        <f>91*Оглавление!H29</f>
        <v>54600</v>
      </c>
    </row>
    <row r="26" spans="1:5" ht="27.6" customHeight="1">
      <c r="A26" s="17" t="s">
        <v>321</v>
      </c>
      <c r="B26" s="48"/>
      <c r="C26" s="84" t="s">
        <v>74</v>
      </c>
      <c r="D26" s="85"/>
      <c r="E26" s="21">
        <f>74*Оглавление!H29</f>
        <v>44400</v>
      </c>
    </row>
    <row r="27" spans="1:5" ht="24" customHeight="1" thickBot="1">
      <c r="A27" s="17" t="s">
        <v>322</v>
      </c>
      <c r="B27" s="48"/>
      <c r="C27" s="84" t="s">
        <v>597</v>
      </c>
      <c r="D27" s="85"/>
      <c r="E27" s="21">
        <f>60*Оглавление!H29</f>
        <v>36000</v>
      </c>
    </row>
    <row r="28" spans="1:5" ht="16.5" customHeight="1" thickBot="1">
      <c r="A28" s="80" t="s">
        <v>88</v>
      </c>
      <c r="B28" s="81"/>
      <c r="C28" s="82"/>
      <c r="D28" s="82"/>
      <c r="E28" s="83"/>
    </row>
    <row r="29" spans="1:5" ht="20.25" customHeight="1" thickBot="1">
      <c r="A29" s="17" t="s">
        <v>323</v>
      </c>
      <c r="B29" s="47" t="s">
        <v>521</v>
      </c>
      <c r="C29" s="86" t="s">
        <v>195</v>
      </c>
      <c r="D29" s="87"/>
      <c r="E29" s="21">
        <f>884*Оглавление!H29</f>
        <v>530400</v>
      </c>
    </row>
    <row r="30" spans="1:5" ht="12.75" customHeight="1" thickBot="1">
      <c r="A30" s="80" t="s">
        <v>89</v>
      </c>
      <c r="B30" s="81"/>
      <c r="C30" s="82"/>
      <c r="D30" s="82"/>
      <c r="E30" s="83"/>
    </row>
    <row r="31" spans="1:5" ht="57" customHeight="1">
      <c r="A31" s="16" t="s">
        <v>324</v>
      </c>
      <c r="B31" s="47"/>
      <c r="C31" s="84" t="s">
        <v>79</v>
      </c>
      <c r="D31" s="85"/>
      <c r="E31" s="21">
        <f>252*Оглавление!H29</f>
        <v>151200</v>
      </c>
    </row>
    <row r="32" spans="1:5" ht="58.2" customHeight="1">
      <c r="A32" s="24" t="s">
        <v>325</v>
      </c>
      <c r="B32" s="47"/>
      <c r="C32" s="84" t="s">
        <v>80</v>
      </c>
      <c r="D32" s="85"/>
      <c r="E32" s="21">
        <f>252*Оглавление!H29</f>
        <v>151200</v>
      </c>
    </row>
    <row r="33" spans="1:5" ht="12.75" customHeight="1">
      <c r="A33" s="24" t="s">
        <v>326</v>
      </c>
      <c r="B33" s="47"/>
      <c r="C33" s="84" t="s">
        <v>81</v>
      </c>
      <c r="D33" s="85"/>
      <c r="E33" s="21">
        <f>151.25*Оглавление!H29</f>
        <v>90750</v>
      </c>
    </row>
    <row r="34" spans="1:5" ht="12.75" customHeight="1">
      <c r="A34" s="24" t="s">
        <v>327</v>
      </c>
      <c r="B34" s="47"/>
      <c r="C34" s="84" t="s">
        <v>82</v>
      </c>
      <c r="D34" s="85"/>
      <c r="E34" s="21">
        <f>83*Оглавление!H29</f>
        <v>49800</v>
      </c>
    </row>
    <row r="35" spans="1:5" ht="12.75" customHeight="1">
      <c r="A35" s="24" t="s">
        <v>328</v>
      </c>
      <c r="B35" s="47"/>
      <c r="C35" s="84" t="s">
        <v>83</v>
      </c>
      <c r="D35" s="85"/>
      <c r="E35" s="21">
        <f>155*Оглавление!H29</f>
        <v>93000</v>
      </c>
    </row>
    <row r="36" spans="1:5" ht="12.75" customHeight="1">
      <c r="A36" s="24" t="s">
        <v>329</v>
      </c>
      <c r="B36" s="47"/>
      <c r="C36" s="84" t="s">
        <v>84</v>
      </c>
      <c r="D36" s="85"/>
      <c r="E36" s="21">
        <f>131.25*Оглавление!H29</f>
        <v>78750</v>
      </c>
    </row>
    <row r="37" spans="1:5" ht="12.75" customHeight="1">
      <c r="A37" s="24" t="s">
        <v>330</v>
      </c>
      <c r="B37" s="47"/>
      <c r="C37" s="84" t="s">
        <v>85</v>
      </c>
      <c r="D37" s="85"/>
      <c r="E37" s="21">
        <f>190*Оглавление!H29</f>
        <v>114000</v>
      </c>
    </row>
    <row r="38" spans="1:5" ht="21.6" customHeight="1">
      <c r="A38" s="16" t="s">
        <v>331</v>
      </c>
      <c r="B38" s="47"/>
      <c r="C38" s="84" t="s">
        <v>86</v>
      </c>
      <c r="D38" s="85"/>
      <c r="E38" s="21">
        <f>227*Оглавление!H29</f>
        <v>136200</v>
      </c>
    </row>
    <row r="39" spans="1:5" ht="12.75" customHeight="1"/>
    <row r="40" spans="1:5" ht="12.75" customHeight="1"/>
    <row r="41" spans="1:5" ht="12.75" customHeight="1"/>
    <row r="42" spans="1:5" ht="12.75" customHeight="1"/>
    <row r="43" spans="1:5" ht="12.75" customHeight="1"/>
    <row r="44" spans="1:5" ht="12.75" customHeight="1"/>
    <row r="45" spans="1:5" ht="12.75" customHeight="1"/>
    <row r="46" spans="1:5" ht="12.75" customHeight="1"/>
    <row r="47" spans="1:5" ht="12.75" customHeight="1"/>
    <row r="48" spans="1:5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  <row r="1001" ht="12.75" customHeight="1"/>
    <row r="1002" ht="12.75" customHeight="1"/>
    <row r="1003" ht="12.75" customHeight="1"/>
    <row r="1004" ht="12.75" customHeight="1"/>
    <row r="1005" ht="12.75" customHeight="1"/>
    <row r="1006" ht="12.75" customHeight="1"/>
    <row r="1007" ht="12.75" customHeight="1"/>
    <row r="1008" ht="12.75" customHeight="1"/>
    <row r="1009" ht="12.75" customHeight="1"/>
    <row r="1010" ht="12.75" customHeight="1"/>
    <row r="1011" ht="12.75" customHeight="1"/>
    <row r="1012" ht="12.75" customHeight="1"/>
    <row r="1013" ht="12.75" customHeight="1"/>
    <row r="1014" ht="12.75" customHeight="1"/>
    <row r="1015" ht="12.75" customHeight="1"/>
    <row r="1016" ht="12.75" customHeight="1"/>
    <row r="1017" ht="12.75" customHeight="1"/>
    <row r="1018" ht="12.75" customHeight="1"/>
  </sheetData>
  <mergeCells count="38">
    <mergeCell ref="C6:D6"/>
    <mergeCell ref="A1:E1"/>
    <mergeCell ref="C2:D2"/>
    <mergeCell ref="A3:E3"/>
    <mergeCell ref="C4:D4"/>
    <mergeCell ref="C5:D5"/>
    <mergeCell ref="C7:D7"/>
    <mergeCell ref="C8:D8"/>
    <mergeCell ref="C9:D9"/>
    <mergeCell ref="C10:D10"/>
    <mergeCell ref="A11:E11"/>
    <mergeCell ref="C38:D38"/>
    <mergeCell ref="C23:D23"/>
    <mergeCell ref="A17:E17"/>
    <mergeCell ref="C18:D18"/>
    <mergeCell ref="C22:D22"/>
    <mergeCell ref="C19:D19"/>
    <mergeCell ref="C29:D29"/>
    <mergeCell ref="A30:E30"/>
    <mergeCell ref="C31:D31"/>
    <mergeCell ref="C32:D32"/>
    <mergeCell ref="C33:D33"/>
    <mergeCell ref="C34:D34"/>
    <mergeCell ref="A24:E24"/>
    <mergeCell ref="C25:D25"/>
    <mergeCell ref="C26:D26"/>
    <mergeCell ref="C20:D20"/>
    <mergeCell ref="C21:D21"/>
    <mergeCell ref="C35:D35"/>
    <mergeCell ref="C36:D36"/>
    <mergeCell ref="C37:D37"/>
    <mergeCell ref="C27:D27"/>
    <mergeCell ref="A28:E28"/>
    <mergeCell ref="C12:D12"/>
    <mergeCell ref="C13:D13"/>
    <mergeCell ref="C14:D14"/>
    <mergeCell ref="C15:D15"/>
    <mergeCell ref="C16:D16"/>
  </mergeCells>
  <pageMargins left="0.7" right="0.7" top="0.75" bottom="0.75" header="0" footer="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6EFB66-7FD7-4780-91A6-CCF4D033CFED}">
  <sheetPr>
    <tabColor theme="4" tint="0.59999389629810485"/>
  </sheetPr>
  <dimension ref="A1:AA1018"/>
  <sheetViews>
    <sheetView topLeftCell="A21" workbookViewId="0">
      <selection activeCell="C27" sqref="C27:D27"/>
    </sheetView>
  </sheetViews>
  <sheetFormatPr defaultColWidth="14.44140625" defaultRowHeight="15" customHeight="1"/>
  <cols>
    <col min="1" max="1" width="18.44140625" customWidth="1"/>
    <col min="2" max="2" width="20.33203125" customWidth="1"/>
    <col min="3" max="3" width="19.6640625" customWidth="1"/>
    <col min="4" max="4" width="78" customWidth="1"/>
    <col min="5" max="5" width="11.44140625" customWidth="1"/>
    <col min="6" max="7" width="8.88671875" customWidth="1"/>
    <col min="8" max="27" width="8" customWidth="1"/>
  </cols>
  <sheetData>
    <row r="1" spans="1:27" ht="12.75" customHeight="1" thickBot="1">
      <c r="A1" s="96"/>
      <c r="B1" s="96"/>
      <c r="C1" s="71"/>
      <c r="D1" s="71"/>
      <c r="E1" s="71"/>
    </row>
    <row r="2" spans="1:27" ht="20.25" customHeight="1" thickBot="1">
      <c r="A2" s="19" t="s">
        <v>12</v>
      </c>
      <c r="B2" s="45" t="s">
        <v>503</v>
      </c>
      <c r="C2" s="97" t="s">
        <v>502</v>
      </c>
      <c r="D2" s="98"/>
      <c r="E2" s="20" t="s">
        <v>44</v>
      </c>
    </row>
    <row r="3" spans="1:27" ht="16.5" customHeight="1" thickBot="1">
      <c r="A3" s="99" t="s">
        <v>113</v>
      </c>
      <c r="B3" s="100"/>
      <c r="C3" s="82"/>
      <c r="D3" s="82"/>
      <c r="E3" s="83"/>
    </row>
    <row r="4" spans="1:27" ht="55.95" customHeight="1" thickBot="1">
      <c r="A4" s="25" t="s">
        <v>349</v>
      </c>
      <c r="B4" s="49" t="s">
        <v>524</v>
      </c>
      <c r="C4" s="115" t="s">
        <v>117</v>
      </c>
      <c r="D4" s="116"/>
      <c r="E4" s="14">
        <f>3430*Оглавление!H29</f>
        <v>2058000</v>
      </c>
    </row>
    <row r="5" spans="1:27" ht="57.6" customHeight="1" thickBot="1">
      <c r="A5" s="26" t="s">
        <v>350</v>
      </c>
      <c r="B5" s="54" t="s">
        <v>523</v>
      </c>
      <c r="C5" s="117" t="s">
        <v>118</v>
      </c>
      <c r="D5" s="95"/>
      <c r="E5" s="15">
        <f>4630.5*Оглавление!H29</f>
        <v>2778300</v>
      </c>
    </row>
    <row r="6" spans="1:27" ht="57.6" customHeight="1" thickBot="1">
      <c r="A6" s="26" t="s">
        <v>461</v>
      </c>
      <c r="B6" s="54" t="s">
        <v>522</v>
      </c>
      <c r="C6" s="117" t="s">
        <v>483</v>
      </c>
      <c r="D6" s="95"/>
      <c r="E6" s="15">
        <f>5541.9*Оглавление!H29</f>
        <v>3325140</v>
      </c>
    </row>
    <row r="7" spans="1:27" ht="27.75" customHeight="1" thickBot="1">
      <c r="A7" s="25" t="s">
        <v>351</v>
      </c>
      <c r="B7" s="49" t="s">
        <v>525</v>
      </c>
      <c r="C7" s="92" t="s">
        <v>119</v>
      </c>
      <c r="D7" s="93"/>
      <c r="E7" s="14">
        <f>4116*Оглавление!H29</f>
        <v>2469600</v>
      </c>
    </row>
    <row r="8" spans="1:27" ht="58.95" customHeight="1" thickBot="1">
      <c r="A8" s="25" t="s">
        <v>352</v>
      </c>
      <c r="B8" s="49" t="s">
        <v>538</v>
      </c>
      <c r="C8" s="92" t="s">
        <v>120</v>
      </c>
      <c r="D8" s="93"/>
      <c r="E8" s="14">
        <f>4459*Оглавление!H29</f>
        <v>2675400</v>
      </c>
    </row>
    <row r="9" spans="1:27" ht="22.2" customHeight="1" thickBot="1">
      <c r="A9" s="26" t="s">
        <v>353</v>
      </c>
      <c r="B9" s="54" t="s">
        <v>526</v>
      </c>
      <c r="C9" s="94" t="s">
        <v>121</v>
      </c>
      <c r="D9" s="95"/>
      <c r="E9" s="15">
        <f>5541.9*Оглавление!H29</f>
        <v>3325140</v>
      </c>
    </row>
    <row r="10" spans="1:27" ht="16.5" customHeight="1" thickBot="1">
      <c r="A10" s="88" t="s">
        <v>13</v>
      </c>
      <c r="B10" s="89"/>
      <c r="C10" s="82"/>
      <c r="D10" s="82"/>
      <c r="E10" s="83"/>
    </row>
    <row r="11" spans="1:27" ht="63.6" customHeight="1">
      <c r="A11" s="16" t="s">
        <v>309</v>
      </c>
      <c r="B11" s="24" t="s">
        <v>51</v>
      </c>
      <c r="C11" s="119" t="s">
        <v>54</v>
      </c>
      <c r="D11" s="120"/>
      <c r="E11" s="21">
        <f>101.37*Оглавление!H29</f>
        <v>60822</v>
      </c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</row>
    <row r="12" spans="1:27" ht="63.6" customHeight="1">
      <c r="A12" s="17" t="s">
        <v>314</v>
      </c>
      <c r="B12" s="17" t="s">
        <v>63</v>
      </c>
      <c r="C12" s="119" t="s">
        <v>55</v>
      </c>
      <c r="D12" s="120"/>
      <c r="E12" s="21">
        <f>34.25*Оглавление!H29</f>
        <v>20550</v>
      </c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27" ht="63.6" customHeight="1">
      <c r="A13" s="17" t="s">
        <v>354</v>
      </c>
      <c r="B13" s="17" t="s">
        <v>122</v>
      </c>
      <c r="C13" s="119" t="s">
        <v>123</v>
      </c>
      <c r="D13" s="120"/>
      <c r="E13" s="21">
        <f>121*Оглавление!H29</f>
        <v>72600</v>
      </c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</row>
    <row r="14" spans="1:27" ht="58.95" customHeight="1">
      <c r="A14" s="17" t="s">
        <v>315</v>
      </c>
      <c r="B14" s="17" t="s">
        <v>60</v>
      </c>
      <c r="C14" s="119" t="s">
        <v>64</v>
      </c>
      <c r="D14" s="120"/>
      <c r="E14" s="21">
        <f>61*Оглавление!H29</f>
        <v>36600</v>
      </c>
    </row>
    <row r="15" spans="1:27" ht="56.4" customHeight="1">
      <c r="A15" s="17" t="s">
        <v>316</v>
      </c>
      <c r="B15" s="17" t="s">
        <v>61</v>
      </c>
      <c r="C15" s="119" t="s">
        <v>65</v>
      </c>
      <c r="D15" s="120"/>
      <c r="E15" s="21">
        <f>35.25*Оглавление!H29</f>
        <v>21150</v>
      </c>
    </row>
    <row r="16" spans="1:27" ht="64.95" customHeight="1">
      <c r="A16" s="12">
        <v>45106</v>
      </c>
      <c r="B16" s="12" t="s">
        <v>62</v>
      </c>
      <c r="C16" s="119" t="s">
        <v>66</v>
      </c>
      <c r="D16" s="120"/>
      <c r="E16" s="21">
        <f>65*Оглавление!H29</f>
        <v>39000</v>
      </c>
    </row>
    <row r="17" spans="1:5" ht="64.95" customHeight="1">
      <c r="A17" s="12">
        <v>45109</v>
      </c>
      <c r="B17" s="12" t="s">
        <v>124</v>
      </c>
      <c r="C17" s="119" t="s">
        <v>126</v>
      </c>
      <c r="D17" s="120"/>
      <c r="E17" s="21">
        <f>130*Оглавление!H29</f>
        <v>78000</v>
      </c>
    </row>
    <row r="18" spans="1:5" ht="64.95" customHeight="1">
      <c r="A18" s="12">
        <v>45110</v>
      </c>
      <c r="B18" s="12" t="s">
        <v>125</v>
      </c>
      <c r="C18" s="119" t="s">
        <v>127</v>
      </c>
      <c r="D18" s="120"/>
      <c r="E18" s="21">
        <f>127*Оглавление!H29</f>
        <v>76200</v>
      </c>
    </row>
    <row r="19" spans="1:5" ht="64.95" customHeight="1">
      <c r="A19" s="12">
        <v>45114</v>
      </c>
      <c r="B19" s="12" t="s">
        <v>128</v>
      </c>
      <c r="C19" s="119" t="s">
        <v>129</v>
      </c>
      <c r="D19" s="120"/>
      <c r="E19" s="21">
        <f>112*Оглавление!H29</f>
        <v>67200</v>
      </c>
    </row>
    <row r="20" spans="1:5" ht="62.4" customHeight="1">
      <c r="A20" s="17" t="s">
        <v>317</v>
      </c>
      <c r="B20" s="17" t="s">
        <v>68</v>
      </c>
      <c r="C20" s="119" t="s">
        <v>70</v>
      </c>
      <c r="D20" s="120"/>
      <c r="E20" s="21">
        <f>67*Оглавление!H29</f>
        <v>40200</v>
      </c>
    </row>
    <row r="21" spans="1:5" ht="64.2" customHeight="1">
      <c r="A21" s="17" t="s">
        <v>318</v>
      </c>
      <c r="B21" s="17" t="s">
        <v>67</v>
      </c>
      <c r="C21" s="119" t="s">
        <v>72</v>
      </c>
      <c r="D21" s="120"/>
      <c r="E21" s="21">
        <f>145*Оглавление!H29</f>
        <v>87000</v>
      </c>
    </row>
    <row r="22" spans="1:5" ht="57.6" customHeight="1" thickBot="1">
      <c r="A22" s="12">
        <v>45117</v>
      </c>
      <c r="B22" s="12" t="s">
        <v>69</v>
      </c>
      <c r="C22" s="119" t="s">
        <v>71</v>
      </c>
      <c r="D22" s="120"/>
      <c r="E22" s="21">
        <f>27.25*Оглавление!H29</f>
        <v>16350</v>
      </c>
    </row>
    <row r="23" spans="1:5" ht="16.5" customHeight="1" thickBot="1">
      <c r="A23" s="80" t="s">
        <v>114</v>
      </c>
      <c r="B23" s="81"/>
      <c r="C23" s="82"/>
      <c r="D23" s="82"/>
      <c r="E23" s="83"/>
    </row>
    <row r="24" spans="1:5" ht="56.4" customHeight="1">
      <c r="A24" s="16" t="s">
        <v>319</v>
      </c>
      <c r="B24" s="47"/>
      <c r="C24" s="84" t="s">
        <v>73</v>
      </c>
      <c r="D24" s="85"/>
      <c r="E24" s="21">
        <f>91*Оглавление!H29</f>
        <v>54600</v>
      </c>
    </row>
    <row r="25" spans="1:5" ht="54" customHeight="1">
      <c r="A25" s="17" t="s">
        <v>320</v>
      </c>
      <c r="B25" s="48"/>
      <c r="C25" s="84" t="s">
        <v>596</v>
      </c>
      <c r="D25" s="85"/>
      <c r="E25" s="21">
        <f>36.5*Оглавление!H29</f>
        <v>21900</v>
      </c>
    </row>
    <row r="26" spans="1:5" ht="27.6" customHeight="1">
      <c r="A26" s="17" t="s">
        <v>321</v>
      </c>
      <c r="B26" s="48"/>
      <c r="C26" s="84" t="s">
        <v>74</v>
      </c>
      <c r="D26" s="85"/>
      <c r="E26" s="21">
        <f>74*Оглавление!H29</f>
        <v>44400</v>
      </c>
    </row>
    <row r="27" spans="1:5" ht="24" customHeight="1" thickBot="1">
      <c r="A27" s="17" t="s">
        <v>322</v>
      </c>
      <c r="B27" s="48"/>
      <c r="C27" s="84" t="s">
        <v>597</v>
      </c>
      <c r="D27" s="85"/>
      <c r="E27" s="21">
        <f>60*Оглавление!H29</f>
        <v>36000</v>
      </c>
    </row>
    <row r="28" spans="1:5" ht="16.5" customHeight="1" thickBot="1">
      <c r="A28" s="80" t="s">
        <v>115</v>
      </c>
      <c r="B28" s="81"/>
      <c r="C28" s="82"/>
      <c r="D28" s="82"/>
      <c r="E28" s="83"/>
    </row>
    <row r="29" spans="1:5" ht="20.25" customHeight="1" thickBot="1">
      <c r="A29" s="17" t="s">
        <v>323</v>
      </c>
      <c r="B29" s="47" t="s">
        <v>521</v>
      </c>
      <c r="C29" s="86" t="s">
        <v>195</v>
      </c>
      <c r="D29" s="87"/>
      <c r="E29" s="21">
        <f>884*Оглавление!H29</f>
        <v>530400</v>
      </c>
    </row>
    <row r="30" spans="1:5" ht="12.75" customHeight="1" thickBot="1">
      <c r="A30" s="80" t="s">
        <v>116</v>
      </c>
      <c r="B30" s="81"/>
      <c r="C30" s="82"/>
      <c r="D30" s="82"/>
      <c r="E30" s="83"/>
    </row>
    <row r="31" spans="1:5" ht="57" customHeight="1">
      <c r="A31" s="16" t="s">
        <v>324</v>
      </c>
      <c r="B31" s="47"/>
      <c r="C31" s="84" t="s">
        <v>79</v>
      </c>
      <c r="D31" s="85"/>
      <c r="E31" s="21">
        <f>252*Оглавление!H29</f>
        <v>151200</v>
      </c>
    </row>
    <row r="32" spans="1:5" ht="58.2" customHeight="1">
      <c r="A32" s="24" t="s">
        <v>325</v>
      </c>
      <c r="B32" s="47"/>
      <c r="C32" s="84" t="s">
        <v>80</v>
      </c>
      <c r="D32" s="85"/>
      <c r="E32" s="21">
        <f>252*Оглавление!H29</f>
        <v>151200</v>
      </c>
    </row>
    <row r="33" spans="1:5" ht="12.75" customHeight="1">
      <c r="A33" s="24" t="s">
        <v>326</v>
      </c>
      <c r="B33" s="47"/>
      <c r="C33" s="84" t="s">
        <v>81</v>
      </c>
      <c r="D33" s="85"/>
      <c r="E33" s="21">
        <f>151.25*Оглавление!H29</f>
        <v>90750</v>
      </c>
    </row>
    <row r="34" spans="1:5" ht="12.75" customHeight="1">
      <c r="A34" s="24" t="s">
        <v>327</v>
      </c>
      <c r="B34" s="47"/>
      <c r="C34" s="84" t="s">
        <v>82</v>
      </c>
      <c r="D34" s="85"/>
      <c r="E34" s="21">
        <f>83*Оглавление!H29</f>
        <v>49800</v>
      </c>
    </row>
    <row r="35" spans="1:5" ht="12.75" customHeight="1">
      <c r="A35" s="24" t="s">
        <v>328</v>
      </c>
      <c r="B35" s="47"/>
      <c r="C35" s="84" t="s">
        <v>83</v>
      </c>
      <c r="D35" s="85"/>
      <c r="E35" s="21">
        <f>155*Оглавление!H29</f>
        <v>93000</v>
      </c>
    </row>
    <row r="36" spans="1:5" ht="12.75" customHeight="1">
      <c r="A36" s="24" t="s">
        <v>329</v>
      </c>
      <c r="B36" s="47"/>
      <c r="C36" s="84" t="s">
        <v>84</v>
      </c>
      <c r="D36" s="85"/>
      <c r="E36" s="21">
        <f>131.25*Оглавление!H29</f>
        <v>78750</v>
      </c>
    </row>
    <row r="37" spans="1:5" ht="12.75" customHeight="1">
      <c r="A37" s="24" t="s">
        <v>330</v>
      </c>
      <c r="B37" s="47"/>
      <c r="C37" s="84" t="s">
        <v>85</v>
      </c>
      <c r="D37" s="85"/>
      <c r="E37" s="21">
        <f>190*Оглавление!H29</f>
        <v>114000</v>
      </c>
    </row>
    <row r="38" spans="1:5" ht="21.6" customHeight="1">
      <c r="A38" s="16" t="s">
        <v>331</v>
      </c>
      <c r="B38" s="47"/>
      <c r="C38" s="84" t="s">
        <v>86</v>
      </c>
      <c r="D38" s="85"/>
      <c r="E38" s="21">
        <f>227*Оглавление!H29</f>
        <v>136200</v>
      </c>
    </row>
    <row r="39" spans="1:5" ht="12.75" customHeight="1" thickBot="1">
      <c r="A39" s="123"/>
      <c r="B39" s="123"/>
      <c r="C39" s="123"/>
      <c r="D39" s="123"/>
      <c r="E39" s="123"/>
    </row>
    <row r="40" spans="1:5" ht="12.75" customHeight="1" thickBot="1">
      <c r="A40" s="121" t="s">
        <v>468</v>
      </c>
      <c r="B40" s="122"/>
      <c r="C40" s="82"/>
      <c r="D40" s="82"/>
      <c r="E40" s="83"/>
    </row>
    <row r="41" spans="1:5" ht="12.75" customHeight="1">
      <c r="A41" s="29" t="s">
        <v>462</v>
      </c>
      <c r="B41" s="51"/>
      <c r="C41" s="103" t="s">
        <v>477</v>
      </c>
      <c r="D41" s="91"/>
      <c r="E41" s="21">
        <f>1200.5*Оглавление!H29</f>
        <v>720300</v>
      </c>
    </row>
    <row r="42" spans="1:5" ht="12.75" customHeight="1"/>
    <row r="43" spans="1:5" ht="12.75" customHeight="1"/>
    <row r="44" spans="1:5" ht="12.75" customHeight="1"/>
    <row r="45" spans="1:5" ht="12.75" customHeight="1"/>
    <row r="46" spans="1:5" ht="12.75" customHeight="1"/>
    <row r="47" spans="1:5" ht="12.75" customHeight="1"/>
    <row r="48" spans="1:5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  <row r="1001" ht="12.75" customHeight="1"/>
    <row r="1002" ht="12.75" customHeight="1"/>
    <row r="1003" ht="12.75" customHeight="1"/>
    <row r="1004" ht="12.75" customHeight="1"/>
    <row r="1005" ht="12.75" customHeight="1"/>
    <row r="1006" ht="12.75" customHeight="1"/>
    <row r="1007" ht="12.75" customHeight="1"/>
    <row r="1008" ht="12.75" customHeight="1"/>
    <row r="1009" ht="12.75" customHeight="1"/>
    <row r="1010" ht="12.75" customHeight="1"/>
    <row r="1011" ht="12.75" customHeight="1"/>
    <row r="1012" ht="12.75" customHeight="1"/>
    <row r="1013" ht="12.75" customHeight="1"/>
    <row r="1014" ht="12.75" customHeight="1"/>
    <row r="1015" ht="12.75" customHeight="1"/>
    <row r="1016" ht="12.75" customHeight="1"/>
    <row r="1017" ht="12.75" customHeight="1"/>
    <row r="1018" ht="12.75" customHeight="1"/>
  </sheetData>
  <mergeCells count="41">
    <mergeCell ref="A40:E40"/>
    <mergeCell ref="C41:D41"/>
    <mergeCell ref="A39:E39"/>
    <mergeCell ref="A28:E28"/>
    <mergeCell ref="C8:D8"/>
    <mergeCell ref="C9:D9"/>
    <mergeCell ref="A10:E10"/>
    <mergeCell ref="C27:D27"/>
    <mergeCell ref="C35:D35"/>
    <mergeCell ref="C36:D36"/>
    <mergeCell ref="C37:D37"/>
    <mergeCell ref="C38:D38"/>
    <mergeCell ref="C29:D29"/>
    <mergeCell ref="A30:E30"/>
    <mergeCell ref="C31:D31"/>
    <mergeCell ref="C32:D32"/>
    <mergeCell ref="C17:D17"/>
    <mergeCell ref="C18:D18"/>
    <mergeCell ref="C19:D19"/>
    <mergeCell ref="C20:D20"/>
    <mergeCell ref="A1:E1"/>
    <mergeCell ref="C2:D2"/>
    <mergeCell ref="A3:E3"/>
    <mergeCell ref="C4:D4"/>
    <mergeCell ref="C5:D5"/>
    <mergeCell ref="C21:D21"/>
    <mergeCell ref="C22:D22"/>
    <mergeCell ref="C6:D6"/>
    <mergeCell ref="C33:D33"/>
    <mergeCell ref="C34:D34"/>
    <mergeCell ref="C7:D7"/>
    <mergeCell ref="A23:E23"/>
    <mergeCell ref="C24:D24"/>
    <mergeCell ref="C25:D25"/>
    <mergeCell ref="C26:D26"/>
    <mergeCell ref="C11:D11"/>
    <mergeCell ref="C12:D12"/>
    <mergeCell ref="C13:D13"/>
    <mergeCell ref="C14:D14"/>
    <mergeCell ref="C15:D15"/>
    <mergeCell ref="C16:D16"/>
  </mergeCells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60586B-5525-435B-893B-91143B494D06}">
  <sheetPr>
    <tabColor theme="9"/>
  </sheetPr>
  <dimension ref="A1:AA1041"/>
  <sheetViews>
    <sheetView topLeftCell="A32" workbookViewId="0">
      <selection activeCell="A51" sqref="A51:E51"/>
    </sheetView>
  </sheetViews>
  <sheetFormatPr defaultColWidth="14.44140625" defaultRowHeight="15" customHeight="1"/>
  <cols>
    <col min="1" max="1" width="18.44140625" customWidth="1"/>
    <col min="2" max="2" width="31.6640625" customWidth="1"/>
    <col min="3" max="3" width="19.6640625" customWidth="1"/>
    <col min="4" max="4" width="78" customWidth="1"/>
    <col min="5" max="5" width="11.44140625" customWidth="1"/>
    <col min="6" max="7" width="8.88671875" customWidth="1"/>
    <col min="8" max="27" width="8" customWidth="1"/>
  </cols>
  <sheetData>
    <row r="1" spans="1:5" ht="12.75" customHeight="1" thickBot="1">
      <c r="A1" s="96"/>
      <c r="B1" s="96"/>
      <c r="C1" s="71"/>
      <c r="D1" s="71"/>
      <c r="E1" s="71"/>
    </row>
    <row r="2" spans="1:5" ht="20.25" customHeight="1" thickBot="1">
      <c r="A2" s="19" t="s">
        <v>12</v>
      </c>
      <c r="B2" s="45" t="s">
        <v>503</v>
      </c>
      <c r="C2" s="97" t="s">
        <v>502</v>
      </c>
      <c r="D2" s="98"/>
      <c r="E2" s="20" t="s">
        <v>44</v>
      </c>
    </row>
    <row r="3" spans="1:5" ht="16.5" customHeight="1" thickBot="1">
      <c r="A3" s="99" t="s">
        <v>130</v>
      </c>
      <c r="B3" s="100"/>
      <c r="C3" s="82"/>
      <c r="D3" s="82"/>
      <c r="E3" s="83"/>
    </row>
    <row r="4" spans="1:5" ht="49.95" customHeight="1" thickBot="1">
      <c r="A4" s="25" t="s">
        <v>355</v>
      </c>
      <c r="B4" s="49" t="s">
        <v>527</v>
      </c>
      <c r="C4" s="115" t="s">
        <v>133</v>
      </c>
      <c r="D4" s="116"/>
      <c r="E4" s="14">
        <f>3773*Оглавление!H29</f>
        <v>2263800</v>
      </c>
    </row>
    <row r="5" spans="1:5" ht="57.6" customHeight="1" thickBot="1">
      <c r="A5" s="26" t="s">
        <v>356</v>
      </c>
      <c r="B5" s="54" t="s">
        <v>529</v>
      </c>
      <c r="C5" s="117" t="s">
        <v>134</v>
      </c>
      <c r="D5" s="95"/>
      <c r="E5" s="15">
        <f>4973.5*Оглавление!H29</f>
        <v>2984100</v>
      </c>
    </row>
    <row r="6" spans="1:5" ht="57.6" customHeight="1" thickBot="1">
      <c r="A6" s="26" t="s">
        <v>460</v>
      </c>
      <c r="B6" s="54" t="s">
        <v>528</v>
      </c>
      <c r="C6" s="117" t="s">
        <v>484</v>
      </c>
      <c r="D6" s="95"/>
      <c r="E6" s="15">
        <f>7830.2*Оглавление!H29</f>
        <v>4698120</v>
      </c>
    </row>
    <row r="7" spans="1:5" ht="25.95" customHeight="1" thickBot="1">
      <c r="A7" s="25" t="s">
        <v>357</v>
      </c>
      <c r="B7" s="49" t="s">
        <v>530</v>
      </c>
      <c r="C7" s="92" t="s">
        <v>135</v>
      </c>
      <c r="D7" s="93"/>
      <c r="E7" s="14">
        <f>4684.4*Оглавление!H29</f>
        <v>2810640</v>
      </c>
    </row>
    <row r="8" spans="1:5" ht="18.600000000000001" customHeight="1" thickBot="1">
      <c r="A8" s="25" t="s">
        <v>358</v>
      </c>
      <c r="B8" s="49" t="s">
        <v>531</v>
      </c>
      <c r="C8" s="92" t="s">
        <v>136</v>
      </c>
      <c r="D8" s="93"/>
      <c r="E8" s="14">
        <f>4116*Оглавление!H29</f>
        <v>2469600</v>
      </c>
    </row>
    <row r="9" spans="1:5" ht="28.2" customHeight="1" thickBot="1">
      <c r="A9" s="25" t="s">
        <v>359</v>
      </c>
      <c r="B9" s="49" t="s">
        <v>532</v>
      </c>
      <c r="C9" s="92" t="s">
        <v>137</v>
      </c>
      <c r="D9" s="93"/>
      <c r="E9" s="14">
        <f>4802*Оглавление!H29</f>
        <v>2881200</v>
      </c>
    </row>
    <row r="10" spans="1:5" ht="18.600000000000001" customHeight="1" thickBot="1">
      <c r="A10" s="25" t="s">
        <v>360</v>
      </c>
      <c r="B10" s="49" t="s">
        <v>533</v>
      </c>
      <c r="C10" s="92" t="s">
        <v>138</v>
      </c>
      <c r="D10" s="93"/>
      <c r="E10" s="14">
        <f>4684.4*Оглавление!H29</f>
        <v>2810640</v>
      </c>
    </row>
    <row r="11" spans="1:5" ht="28.2" customHeight="1" thickBot="1">
      <c r="A11" s="25" t="s">
        <v>361</v>
      </c>
      <c r="B11" s="49" t="s">
        <v>534</v>
      </c>
      <c r="C11" s="92" t="s">
        <v>139</v>
      </c>
      <c r="D11" s="93"/>
      <c r="E11" s="14">
        <f>5370.4*Оглавление!H29</f>
        <v>3222240</v>
      </c>
    </row>
    <row r="12" spans="1:5" ht="13.95" customHeight="1" thickBot="1">
      <c r="A12" s="25" t="s">
        <v>362</v>
      </c>
      <c r="B12" s="49" t="s">
        <v>535</v>
      </c>
      <c r="C12" s="92" t="s">
        <v>140</v>
      </c>
      <c r="D12" s="93"/>
      <c r="E12" s="14">
        <f>4802*Оглавление!H29</f>
        <v>2881200</v>
      </c>
    </row>
    <row r="13" spans="1:5" ht="28.2" customHeight="1" thickBot="1">
      <c r="A13" s="25" t="s">
        <v>363</v>
      </c>
      <c r="B13" s="49" t="s">
        <v>536</v>
      </c>
      <c r="C13" s="92" t="s">
        <v>141</v>
      </c>
      <c r="D13" s="93"/>
      <c r="E13" s="14">
        <f>5488*Оглавление!H29</f>
        <v>3292800</v>
      </c>
    </row>
    <row r="14" spans="1:5" ht="51.6" customHeight="1" thickBot="1">
      <c r="A14" s="25" t="s">
        <v>364</v>
      </c>
      <c r="B14" s="49" t="s">
        <v>537</v>
      </c>
      <c r="C14" s="92" t="s">
        <v>143</v>
      </c>
      <c r="D14" s="93"/>
      <c r="E14" s="14">
        <f>4684.4*Оглавление!H29</f>
        <v>2810640</v>
      </c>
    </row>
    <row r="15" spans="1:5" ht="22.2" customHeight="1" thickBot="1">
      <c r="A15" s="26" t="s">
        <v>365</v>
      </c>
      <c r="B15" s="26" t="s">
        <v>539</v>
      </c>
      <c r="C15" s="124" t="s">
        <v>142</v>
      </c>
      <c r="D15" s="125"/>
      <c r="E15" s="15">
        <f>5884.9*Оглавление!H29</f>
        <v>3530940</v>
      </c>
    </row>
    <row r="16" spans="1:5" ht="22.2" customHeight="1" thickBot="1">
      <c r="A16" s="26" t="s">
        <v>366</v>
      </c>
      <c r="B16" s="26" t="s">
        <v>540</v>
      </c>
      <c r="C16" s="124" t="s">
        <v>144</v>
      </c>
      <c r="D16" s="125"/>
      <c r="E16" s="15">
        <f>5316.5*Оглавление!H29</f>
        <v>3189900</v>
      </c>
    </row>
    <row r="17" spans="1:27" ht="22.2" customHeight="1" thickBot="1">
      <c r="A17" s="26" t="s">
        <v>367</v>
      </c>
      <c r="B17" s="26" t="s">
        <v>541</v>
      </c>
      <c r="C17" s="124" t="s">
        <v>145</v>
      </c>
      <c r="D17" s="125"/>
      <c r="E17" s="15">
        <f>6002.5*Оглавление!H29</f>
        <v>3601500</v>
      </c>
    </row>
    <row r="18" spans="1:27" ht="22.2" customHeight="1" thickBot="1">
      <c r="A18" s="26" t="s">
        <v>368</v>
      </c>
      <c r="B18" s="26" t="s">
        <v>542</v>
      </c>
      <c r="C18" s="124" t="s">
        <v>146</v>
      </c>
      <c r="D18" s="125"/>
      <c r="E18" s="15">
        <f>5884.9*Оглавление!H29</f>
        <v>3530940</v>
      </c>
    </row>
    <row r="19" spans="1:27" ht="22.2" customHeight="1" thickBot="1">
      <c r="A19" s="26" t="s">
        <v>369</v>
      </c>
      <c r="B19" s="26" t="s">
        <v>544</v>
      </c>
      <c r="C19" s="124" t="s">
        <v>543</v>
      </c>
      <c r="D19" s="125"/>
      <c r="E19" s="15">
        <f>6570.9*Оглавление!H29</f>
        <v>3942540</v>
      </c>
    </row>
    <row r="20" spans="1:27" ht="22.2" customHeight="1" thickBot="1">
      <c r="A20" s="26" t="s">
        <v>370</v>
      </c>
      <c r="B20" s="26" t="s">
        <v>545</v>
      </c>
      <c r="C20" s="124" t="s">
        <v>147</v>
      </c>
      <c r="D20" s="125"/>
      <c r="E20" s="15">
        <f>6002.5*Оглавление!H29</f>
        <v>3601500</v>
      </c>
    </row>
    <row r="21" spans="1:27" ht="22.2" customHeight="1" thickBot="1">
      <c r="A21" s="26" t="s">
        <v>371</v>
      </c>
      <c r="B21" s="26" t="s">
        <v>546</v>
      </c>
      <c r="C21" s="124" t="s">
        <v>148</v>
      </c>
      <c r="D21" s="125"/>
      <c r="E21" s="15">
        <f>6683.6*Оглавление!H29</f>
        <v>4010160</v>
      </c>
    </row>
    <row r="22" spans="1:27" ht="22.2" customHeight="1" thickBot="1">
      <c r="A22" s="26" t="s">
        <v>372</v>
      </c>
      <c r="B22" s="26" t="s">
        <v>548</v>
      </c>
      <c r="C22" s="124" t="s">
        <v>149</v>
      </c>
      <c r="D22" s="125"/>
      <c r="E22" s="15">
        <f>7541.1*Оглавление!H29</f>
        <v>4524660</v>
      </c>
    </row>
    <row r="23" spans="1:27" ht="22.2" customHeight="1" thickBot="1">
      <c r="A23" s="26" t="s">
        <v>373</v>
      </c>
      <c r="B23" s="26" t="s">
        <v>547</v>
      </c>
      <c r="C23" s="124" t="s">
        <v>150</v>
      </c>
      <c r="D23" s="125"/>
      <c r="E23" s="15">
        <f>7085.4*Оглавление!H29</f>
        <v>4251240</v>
      </c>
    </row>
    <row r="24" spans="1:27" ht="22.2" customHeight="1" thickBot="1">
      <c r="A24" s="26" t="s">
        <v>374</v>
      </c>
      <c r="B24" s="26" t="s">
        <v>548</v>
      </c>
      <c r="C24" s="124" t="s">
        <v>151</v>
      </c>
      <c r="D24" s="125"/>
      <c r="E24" s="15">
        <f>7771.4*Оглавление!H29</f>
        <v>4662840</v>
      </c>
    </row>
    <row r="25" spans="1:27" ht="22.2" customHeight="1" thickBot="1">
      <c r="A25" s="26" t="s">
        <v>375</v>
      </c>
      <c r="B25" s="26" t="s">
        <v>549</v>
      </c>
      <c r="C25" s="124" t="s">
        <v>152</v>
      </c>
      <c r="D25" s="125"/>
      <c r="E25" s="15">
        <f>8741.6*Оглавление!H29</f>
        <v>5244960</v>
      </c>
    </row>
    <row r="26" spans="1:27" ht="22.2" customHeight="1" thickBot="1">
      <c r="A26" s="26" t="s">
        <v>376</v>
      </c>
      <c r="B26" s="26" t="s">
        <v>550</v>
      </c>
      <c r="C26" s="124" t="s">
        <v>153</v>
      </c>
      <c r="D26" s="125"/>
      <c r="E26" s="15">
        <f>8285.9*Оглавление!H29</f>
        <v>4971540</v>
      </c>
    </row>
    <row r="27" spans="1:27" ht="22.2" customHeight="1" thickBot="1">
      <c r="A27" s="26" t="s">
        <v>377</v>
      </c>
      <c r="B27" s="26" t="s">
        <v>551</v>
      </c>
      <c r="C27" s="124" t="s">
        <v>154</v>
      </c>
      <c r="D27" s="125"/>
      <c r="E27" s="15">
        <f>8971.9*Оглавление!H29</f>
        <v>5383140</v>
      </c>
    </row>
    <row r="28" spans="1:27" ht="16.5" customHeight="1" thickBot="1">
      <c r="A28" s="88" t="s">
        <v>13</v>
      </c>
      <c r="B28" s="89"/>
      <c r="C28" s="82"/>
      <c r="D28" s="82"/>
      <c r="E28" s="83"/>
    </row>
    <row r="29" spans="1:27" ht="63.6" customHeight="1" thickBot="1">
      <c r="A29" s="34">
        <v>45200</v>
      </c>
      <c r="B29" s="10" t="s">
        <v>16</v>
      </c>
      <c r="C29" s="126" t="s">
        <v>552</v>
      </c>
      <c r="D29" s="127"/>
      <c r="E29" s="21">
        <f>204*Оглавление!H29</f>
        <v>122400</v>
      </c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</row>
    <row r="30" spans="1:27" ht="63.6" customHeight="1" thickBot="1">
      <c r="A30" s="35">
        <v>45201</v>
      </c>
      <c r="B30" s="35" t="s">
        <v>155</v>
      </c>
      <c r="C30" s="126" t="s">
        <v>482</v>
      </c>
      <c r="D30" s="127"/>
      <c r="E30" s="21">
        <f>153*Оглавление!H29</f>
        <v>91800</v>
      </c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</row>
    <row r="31" spans="1:27" ht="63.6" customHeight="1" thickBot="1">
      <c r="A31" s="35">
        <v>45202</v>
      </c>
      <c r="B31" s="35" t="s">
        <v>155</v>
      </c>
      <c r="C31" s="126" t="s">
        <v>161</v>
      </c>
      <c r="D31" s="127"/>
      <c r="E31" s="21">
        <f>63*Оглавление!H29</f>
        <v>37800</v>
      </c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</row>
    <row r="32" spans="1:27" ht="58.95" customHeight="1" thickBot="1">
      <c r="A32" s="35">
        <v>45206</v>
      </c>
      <c r="B32" s="35" t="s">
        <v>156</v>
      </c>
      <c r="C32" s="126" t="s">
        <v>162</v>
      </c>
      <c r="D32" s="127"/>
      <c r="E32" s="21">
        <f>99*Оглавление!H29</f>
        <v>59400</v>
      </c>
      <c r="L32" s="9"/>
    </row>
    <row r="33" spans="1:5" ht="56.4" customHeight="1" thickBot="1">
      <c r="A33" s="35">
        <v>45209</v>
      </c>
      <c r="B33" s="35" t="s">
        <v>157</v>
      </c>
      <c r="C33" s="126" t="s">
        <v>163</v>
      </c>
      <c r="D33" s="127"/>
      <c r="E33" s="21">
        <f>263*Оглавление!H29</f>
        <v>157800</v>
      </c>
    </row>
    <row r="34" spans="1:5" ht="64.95" customHeight="1" thickBot="1">
      <c r="A34" s="36">
        <v>45210</v>
      </c>
      <c r="B34" s="36" t="s">
        <v>99</v>
      </c>
      <c r="C34" s="126" t="s">
        <v>164</v>
      </c>
      <c r="D34" s="127"/>
      <c r="E34" s="21">
        <f>270*Оглавление!H29</f>
        <v>162000</v>
      </c>
    </row>
    <row r="35" spans="1:5" ht="64.95" customHeight="1" thickBot="1">
      <c r="A35" s="36">
        <v>45214</v>
      </c>
      <c r="B35" s="36" t="s">
        <v>158</v>
      </c>
      <c r="C35" s="126" t="s">
        <v>165</v>
      </c>
      <c r="D35" s="127"/>
      <c r="E35" s="21">
        <f>268*Оглавление!H29</f>
        <v>160800</v>
      </c>
    </row>
    <row r="36" spans="1:5" ht="64.95" customHeight="1" thickBot="1">
      <c r="A36" s="36">
        <v>45215</v>
      </c>
      <c r="B36" s="36" t="s">
        <v>15</v>
      </c>
      <c r="C36" s="126" t="s">
        <v>166</v>
      </c>
      <c r="D36" s="127"/>
      <c r="E36" s="21">
        <f>278*Оглавление!H29</f>
        <v>166800</v>
      </c>
    </row>
    <row r="37" spans="1:5" ht="18" customHeight="1" thickBot="1">
      <c r="A37" s="80" t="s">
        <v>168</v>
      </c>
      <c r="B37" s="81"/>
      <c r="C37" s="82"/>
      <c r="D37" s="82"/>
      <c r="E37" s="83"/>
    </row>
    <row r="38" spans="1:5" ht="57" customHeight="1">
      <c r="A38" s="16" t="s">
        <v>343</v>
      </c>
      <c r="B38" s="47"/>
      <c r="C38" s="84" t="s">
        <v>107</v>
      </c>
      <c r="D38" s="85"/>
      <c r="E38" s="21">
        <f>96*Оглавление!H29</f>
        <v>57600</v>
      </c>
    </row>
    <row r="39" spans="1:5" ht="25.2" customHeight="1">
      <c r="A39" s="16" t="s">
        <v>344</v>
      </c>
      <c r="B39" s="47"/>
      <c r="C39" s="84" t="s">
        <v>108</v>
      </c>
      <c r="D39" s="85"/>
      <c r="E39" s="21">
        <f>96*Оглавление!H29</f>
        <v>57600</v>
      </c>
    </row>
    <row r="40" spans="1:5" ht="25.2" customHeight="1">
      <c r="A40" s="16" t="s">
        <v>345</v>
      </c>
      <c r="B40" s="47"/>
      <c r="C40" s="84" t="s">
        <v>109</v>
      </c>
      <c r="D40" s="85"/>
      <c r="E40" s="21">
        <f>179*Оглавление!H29</f>
        <v>107400</v>
      </c>
    </row>
    <row r="41" spans="1:5" ht="29.4" customHeight="1">
      <c r="A41" s="16" t="s">
        <v>346</v>
      </c>
      <c r="B41" s="47"/>
      <c r="C41" s="84" t="s">
        <v>110</v>
      </c>
      <c r="D41" s="85"/>
      <c r="E41" s="21">
        <f>179*Оглавление!H29</f>
        <v>107400</v>
      </c>
    </row>
    <row r="42" spans="1:5" ht="35.4" customHeight="1">
      <c r="A42" s="16" t="s">
        <v>347</v>
      </c>
      <c r="B42" s="47"/>
      <c r="C42" s="84" t="s">
        <v>111</v>
      </c>
      <c r="D42" s="85"/>
      <c r="E42" s="21">
        <f>86.75*Оглавление!H29</f>
        <v>52050</v>
      </c>
    </row>
    <row r="43" spans="1:5" ht="35.4" customHeight="1">
      <c r="A43" s="16" t="s">
        <v>348</v>
      </c>
      <c r="B43" s="47"/>
      <c r="C43" s="84" t="s">
        <v>112</v>
      </c>
      <c r="D43" s="85"/>
      <c r="E43" s="21">
        <f>80*Оглавление!H29</f>
        <v>48000</v>
      </c>
    </row>
    <row r="44" spans="1:5" ht="63" customHeight="1">
      <c r="A44" s="16" t="s">
        <v>169</v>
      </c>
      <c r="B44" s="47"/>
      <c r="C44" s="84" t="s">
        <v>171</v>
      </c>
      <c r="D44" s="85"/>
      <c r="E44" s="21">
        <f>76*Оглавление!H29</f>
        <v>45600</v>
      </c>
    </row>
    <row r="45" spans="1:5" ht="64.95" customHeight="1" thickBot="1">
      <c r="A45" s="16" t="s">
        <v>170</v>
      </c>
      <c r="B45" s="47"/>
      <c r="C45" s="84" t="s">
        <v>172</v>
      </c>
      <c r="D45" s="85"/>
      <c r="E45" s="21">
        <f>179*Оглавление!H29</f>
        <v>107400</v>
      </c>
    </row>
    <row r="46" spans="1:5" ht="16.5" customHeight="1" thickBot="1">
      <c r="A46" s="80" t="s">
        <v>167</v>
      </c>
      <c r="B46" s="81"/>
      <c r="C46" s="82"/>
      <c r="D46" s="82"/>
      <c r="E46" s="83"/>
    </row>
    <row r="47" spans="1:5" ht="56.4" customHeight="1">
      <c r="A47" s="16" t="s">
        <v>319</v>
      </c>
      <c r="B47" s="47"/>
      <c r="C47" s="84" t="s">
        <v>73</v>
      </c>
      <c r="D47" s="85"/>
      <c r="E47" s="21">
        <f>91*Оглавление!H29</f>
        <v>54600</v>
      </c>
    </row>
    <row r="48" spans="1:5" ht="54" customHeight="1">
      <c r="A48" s="17" t="s">
        <v>320</v>
      </c>
      <c r="B48" s="48"/>
      <c r="C48" s="84" t="s">
        <v>596</v>
      </c>
      <c r="D48" s="85"/>
      <c r="E48" s="21">
        <f>36.5*Оглавление!H29</f>
        <v>21900</v>
      </c>
    </row>
    <row r="49" spans="1:5" ht="27.6" customHeight="1">
      <c r="A49" s="17" t="s">
        <v>321</v>
      </c>
      <c r="B49" s="48"/>
      <c r="C49" s="84" t="s">
        <v>74</v>
      </c>
      <c r="D49" s="85"/>
      <c r="E49" s="21">
        <f>74*Оглавление!H29</f>
        <v>44400</v>
      </c>
    </row>
    <row r="50" spans="1:5" ht="24" customHeight="1" thickBot="1">
      <c r="A50" s="17" t="s">
        <v>322</v>
      </c>
      <c r="B50" s="48"/>
      <c r="C50" s="84" t="s">
        <v>597</v>
      </c>
      <c r="D50" s="85"/>
      <c r="E50" s="21">
        <f>60*Оглавление!H29</f>
        <v>36000</v>
      </c>
    </row>
    <row r="51" spans="1:5" ht="16.5" customHeight="1" thickBot="1">
      <c r="A51" s="80" t="s">
        <v>131</v>
      </c>
      <c r="B51" s="81"/>
      <c r="C51" s="82"/>
      <c r="D51" s="82"/>
      <c r="E51" s="83"/>
    </row>
    <row r="52" spans="1:5" ht="20.25" customHeight="1" thickBot="1">
      <c r="A52" s="17" t="s">
        <v>323</v>
      </c>
      <c r="B52" s="47"/>
      <c r="C52" s="86" t="s">
        <v>195</v>
      </c>
      <c r="D52" s="87"/>
      <c r="E52" s="21">
        <f>884*Оглавление!H29</f>
        <v>530400</v>
      </c>
    </row>
    <row r="53" spans="1:5" ht="12.75" customHeight="1" thickBot="1">
      <c r="A53" s="80" t="s">
        <v>132</v>
      </c>
      <c r="B53" s="81"/>
      <c r="C53" s="82"/>
      <c r="D53" s="82"/>
      <c r="E53" s="83"/>
    </row>
    <row r="54" spans="1:5" ht="57" customHeight="1">
      <c r="A54" s="16" t="s">
        <v>324</v>
      </c>
      <c r="B54" s="47"/>
      <c r="C54" s="84" t="s">
        <v>79</v>
      </c>
      <c r="D54" s="85"/>
      <c r="E54" s="21">
        <f>252*Оглавление!H29</f>
        <v>151200</v>
      </c>
    </row>
    <row r="55" spans="1:5" ht="58.2" customHeight="1">
      <c r="A55" s="24" t="s">
        <v>325</v>
      </c>
      <c r="B55" s="47"/>
      <c r="C55" s="84" t="s">
        <v>80</v>
      </c>
      <c r="D55" s="85"/>
      <c r="E55" s="21">
        <f>252*Оглавление!H29</f>
        <v>151200</v>
      </c>
    </row>
    <row r="56" spans="1:5" ht="12.75" customHeight="1">
      <c r="A56" s="24" t="s">
        <v>326</v>
      </c>
      <c r="B56" s="47"/>
      <c r="C56" s="84" t="s">
        <v>81</v>
      </c>
      <c r="D56" s="85"/>
      <c r="E56" s="21">
        <f>151.25*Оглавление!H29</f>
        <v>90750</v>
      </c>
    </row>
    <row r="57" spans="1:5" ht="12.75" customHeight="1">
      <c r="A57" s="24" t="s">
        <v>327</v>
      </c>
      <c r="B57" s="47"/>
      <c r="C57" s="84" t="s">
        <v>82</v>
      </c>
      <c r="D57" s="85"/>
      <c r="E57" s="21">
        <f>83*Оглавление!H29</f>
        <v>49800</v>
      </c>
    </row>
    <row r="58" spans="1:5" ht="12.75" customHeight="1">
      <c r="A58" s="24" t="s">
        <v>328</v>
      </c>
      <c r="B58" s="47"/>
      <c r="C58" s="84" t="s">
        <v>83</v>
      </c>
      <c r="D58" s="85"/>
      <c r="E58" s="21">
        <f>155*Оглавление!H29</f>
        <v>93000</v>
      </c>
    </row>
    <row r="59" spans="1:5" ht="12.75" customHeight="1">
      <c r="A59" s="24" t="s">
        <v>329</v>
      </c>
      <c r="B59" s="47"/>
      <c r="C59" s="84" t="s">
        <v>84</v>
      </c>
      <c r="D59" s="85"/>
      <c r="E59" s="21">
        <f>131.25*Оглавление!H29</f>
        <v>78750</v>
      </c>
    </row>
    <row r="60" spans="1:5" ht="12.75" customHeight="1">
      <c r="A60" s="24" t="s">
        <v>330</v>
      </c>
      <c r="B60" s="47"/>
      <c r="C60" s="84" t="s">
        <v>85</v>
      </c>
      <c r="D60" s="85"/>
      <c r="E60" s="21">
        <f>190*Оглавление!H29</f>
        <v>114000</v>
      </c>
    </row>
    <row r="61" spans="1:5" ht="21.6" customHeight="1">
      <c r="A61" s="16" t="s">
        <v>331</v>
      </c>
      <c r="B61" s="47"/>
      <c r="C61" s="84" t="s">
        <v>86</v>
      </c>
      <c r="D61" s="85"/>
      <c r="E61" s="21">
        <f>227*Оглавление!H29</f>
        <v>136200</v>
      </c>
    </row>
    <row r="62" spans="1:5" ht="12.75" customHeight="1"/>
    <row r="63" spans="1:5" ht="12.75" customHeight="1"/>
    <row r="64" spans="1:5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  <row r="1001" ht="12.75" customHeight="1"/>
    <row r="1002" ht="12.75" customHeight="1"/>
    <row r="1003" ht="12.75" customHeight="1"/>
    <row r="1004" ht="12.75" customHeight="1"/>
    <row r="1005" ht="12.75" customHeight="1"/>
    <row r="1006" ht="12.75" customHeight="1"/>
    <row r="1007" ht="12.75" customHeight="1"/>
    <row r="1008" ht="12.75" customHeight="1"/>
    <row r="1009" ht="12.75" customHeight="1"/>
    <row r="1010" ht="12.75" customHeight="1"/>
    <row r="1011" ht="12.75" customHeight="1"/>
    <row r="1012" ht="12.75" customHeight="1"/>
    <row r="1013" ht="12.75" customHeight="1"/>
    <row r="1014" ht="12.75" customHeight="1"/>
    <row r="1015" ht="12.75" customHeight="1"/>
    <row r="1016" ht="12.75" customHeight="1"/>
    <row r="1017" ht="12.75" customHeight="1"/>
    <row r="1018" ht="12.75" customHeight="1"/>
    <row r="1019" ht="12.75" customHeight="1"/>
    <row r="1020" ht="12.75" customHeight="1"/>
    <row r="1021" ht="12.75" customHeight="1"/>
    <row r="1022" ht="12.75" customHeight="1"/>
    <row r="1023" ht="12.75" customHeight="1"/>
    <row r="1024" ht="12.75" customHeight="1"/>
    <row r="1025" ht="12.75" customHeight="1"/>
    <row r="1026" ht="12.75" customHeight="1"/>
    <row r="1027" ht="12.75" customHeight="1"/>
    <row r="1028" ht="12.75" customHeight="1"/>
    <row r="1029" ht="12.75" customHeight="1"/>
    <row r="1030" ht="12.75" customHeight="1"/>
    <row r="1031" ht="12.75" customHeight="1"/>
    <row r="1032" ht="12.75" customHeight="1"/>
    <row r="1033" ht="12.75" customHeight="1"/>
    <row r="1034" ht="12.75" customHeight="1"/>
    <row r="1035" ht="12.75" customHeight="1"/>
    <row r="1036" ht="12.75" customHeight="1"/>
    <row r="1037" ht="12.75" customHeight="1"/>
    <row r="1038" ht="12.75" customHeight="1"/>
    <row r="1039" ht="12.75" customHeight="1"/>
    <row r="1040" ht="12.75" customHeight="1"/>
    <row r="1041" ht="12.75" customHeight="1"/>
  </sheetData>
  <mergeCells count="61">
    <mergeCell ref="C7:D7"/>
    <mergeCell ref="A1:E1"/>
    <mergeCell ref="C2:D2"/>
    <mergeCell ref="A3:E3"/>
    <mergeCell ref="C4:D4"/>
    <mergeCell ref="C5:D5"/>
    <mergeCell ref="C6:D6"/>
    <mergeCell ref="C48:D48"/>
    <mergeCell ref="C19:D19"/>
    <mergeCell ref="C20:D20"/>
    <mergeCell ref="C21:D21"/>
    <mergeCell ref="C22:D22"/>
    <mergeCell ref="C41:D41"/>
    <mergeCell ref="C40:D40"/>
    <mergeCell ref="C29:D29"/>
    <mergeCell ref="C30:D30"/>
    <mergeCell ref="C31:D31"/>
    <mergeCell ref="C32:D32"/>
    <mergeCell ref="C33:D33"/>
    <mergeCell ref="C34:D34"/>
    <mergeCell ref="C35:D35"/>
    <mergeCell ref="C36:D36"/>
    <mergeCell ref="C8:D8"/>
    <mergeCell ref="C15:D15"/>
    <mergeCell ref="A28:E28"/>
    <mergeCell ref="A46:E46"/>
    <mergeCell ref="C47:D47"/>
    <mergeCell ref="A37:E37"/>
    <mergeCell ref="C24:D24"/>
    <mergeCell ref="C25:D25"/>
    <mergeCell ref="C26:D26"/>
    <mergeCell ref="C27:D27"/>
    <mergeCell ref="C39:D39"/>
    <mergeCell ref="C38:D38"/>
    <mergeCell ref="C44:D44"/>
    <mergeCell ref="C45:D45"/>
    <mergeCell ref="C43:D43"/>
    <mergeCell ref="C42:D42"/>
    <mergeCell ref="C60:D60"/>
    <mergeCell ref="C49:D49"/>
    <mergeCell ref="C50:D50"/>
    <mergeCell ref="A51:E51"/>
    <mergeCell ref="C52:D52"/>
    <mergeCell ref="A53:E53"/>
    <mergeCell ref="C54:D54"/>
    <mergeCell ref="C61:D61"/>
    <mergeCell ref="C9:D9"/>
    <mergeCell ref="C10:D10"/>
    <mergeCell ref="C11:D11"/>
    <mergeCell ref="C12:D12"/>
    <mergeCell ref="C13:D13"/>
    <mergeCell ref="C14:D14"/>
    <mergeCell ref="C16:D16"/>
    <mergeCell ref="C17:D17"/>
    <mergeCell ref="C18:D18"/>
    <mergeCell ref="C55:D55"/>
    <mergeCell ref="C56:D56"/>
    <mergeCell ref="C57:D57"/>
    <mergeCell ref="C58:D58"/>
    <mergeCell ref="C59:D59"/>
    <mergeCell ref="C23:D23"/>
  </mergeCells>
  <phoneticPr fontId="15" type="noConversion"/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AEFDC7-7A5D-4126-A6F1-FD7128A2E682}">
  <sheetPr>
    <tabColor rgb="FF00B050"/>
  </sheetPr>
  <dimension ref="A1:AA1007"/>
  <sheetViews>
    <sheetView topLeftCell="A13" workbookViewId="0">
      <selection activeCell="D33" sqref="D33"/>
    </sheetView>
  </sheetViews>
  <sheetFormatPr defaultColWidth="14.44140625" defaultRowHeight="15" customHeight="1"/>
  <cols>
    <col min="1" max="1" width="18.44140625" customWidth="1"/>
    <col min="2" max="2" width="21" customWidth="1"/>
    <col min="3" max="3" width="19.6640625" customWidth="1"/>
    <col min="4" max="4" width="78" customWidth="1"/>
    <col min="5" max="5" width="11.44140625" customWidth="1"/>
    <col min="6" max="7" width="8.88671875" customWidth="1"/>
    <col min="8" max="27" width="8" customWidth="1"/>
  </cols>
  <sheetData>
    <row r="1" spans="1:27" ht="12.75" customHeight="1" thickBot="1">
      <c r="A1" s="96"/>
      <c r="B1" s="96"/>
      <c r="C1" s="71"/>
      <c r="D1" s="71"/>
      <c r="E1" s="71"/>
    </row>
    <row r="2" spans="1:27" ht="20.25" customHeight="1" thickBot="1">
      <c r="A2" s="19" t="s">
        <v>12</v>
      </c>
      <c r="B2" s="45" t="s">
        <v>503</v>
      </c>
      <c r="C2" s="97" t="s">
        <v>502</v>
      </c>
      <c r="D2" s="98"/>
      <c r="E2" s="20" t="s">
        <v>44</v>
      </c>
    </row>
    <row r="3" spans="1:27" ht="16.5" customHeight="1" thickBot="1">
      <c r="A3" s="99" t="s">
        <v>180</v>
      </c>
      <c r="B3" s="100"/>
      <c r="C3" s="82"/>
      <c r="D3" s="82"/>
      <c r="E3" s="83"/>
    </row>
    <row r="4" spans="1:27" ht="49.95" customHeight="1" thickBot="1">
      <c r="A4" s="29" t="s">
        <v>378</v>
      </c>
      <c r="B4" s="51" t="s">
        <v>553</v>
      </c>
      <c r="C4" s="103" t="s">
        <v>174</v>
      </c>
      <c r="D4" s="91"/>
      <c r="E4" s="21">
        <f>8570.1*Оглавление!H29</f>
        <v>5142060</v>
      </c>
    </row>
    <row r="5" spans="1:27" ht="47.25" customHeight="1" thickBot="1">
      <c r="A5" s="29" t="s">
        <v>379</v>
      </c>
      <c r="B5" s="51" t="s">
        <v>554</v>
      </c>
      <c r="C5" s="128" t="s">
        <v>175</v>
      </c>
      <c r="D5" s="93"/>
      <c r="E5" s="21">
        <f>9256.1*Оглавление!H29</f>
        <v>5553660</v>
      </c>
    </row>
    <row r="6" spans="1:27" ht="61.95" customHeight="1" thickBot="1">
      <c r="A6" s="29" t="s">
        <v>380</v>
      </c>
      <c r="B6" s="56" t="s">
        <v>555</v>
      </c>
      <c r="C6" s="128" t="s">
        <v>176</v>
      </c>
      <c r="D6" s="93"/>
      <c r="E6" s="21">
        <f>9716.7*Оглавление!H29</f>
        <v>5830020</v>
      </c>
    </row>
    <row r="7" spans="1:27" ht="16.5" customHeight="1" thickBot="1">
      <c r="A7" s="88" t="s">
        <v>13</v>
      </c>
      <c r="B7" s="89"/>
      <c r="C7" s="82"/>
      <c r="D7" s="82"/>
      <c r="E7" s="83"/>
    </row>
    <row r="8" spans="1:27" ht="63.6" customHeight="1" thickBot="1">
      <c r="A8" s="16" t="s">
        <v>381</v>
      </c>
      <c r="B8" s="10" t="s">
        <v>16</v>
      </c>
      <c r="C8" s="126" t="s">
        <v>188</v>
      </c>
      <c r="D8" s="127"/>
      <c r="E8" s="21">
        <f>214.2*Оглавление!H29</f>
        <v>128520</v>
      </c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27" ht="63.6" customHeight="1" thickBot="1">
      <c r="A9" s="17" t="s">
        <v>382</v>
      </c>
      <c r="B9" s="8" t="s">
        <v>185</v>
      </c>
      <c r="C9" s="126" t="s">
        <v>187</v>
      </c>
      <c r="D9" s="127"/>
      <c r="E9" s="21">
        <f>169.05*Оглавление!H29</f>
        <v>101430</v>
      </c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</row>
    <row r="10" spans="1:27" ht="63.6" customHeight="1" thickBot="1">
      <c r="A10" s="17" t="s">
        <v>383</v>
      </c>
      <c r="B10" s="8" t="s">
        <v>186</v>
      </c>
      <c r="C10" s="126" t="s">
        <v>184</v>
      </c>
      <c r="D10" s="127"/>
      <c r="E10" s="21">
        <f>6770.35*Оглавление!H29</f>
        <v>4062210</v>
      </c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</row>
    <row r="11" spans="1:27" ht="58.95" customHeight="1" thickBot="1">
      <c r="A11" s="17" t="s">
        <v>384</v>
      </c>
      <c r="B11" s="8" t="s">
        <v>99</v>
      </c>
      <c r="C11" s="126" t="s">
        <v>179</v>
      </c>
      <c r="D11" s="127"/>
      <c r="E11" s="21">
        <f>283.5*Оглавление!H29</f>
        <v>170100</v>
      </c>
    </row>
    <row r="12" spans="1:27" ht="56.4" customHeight="1" thickBot="1">
      <c r="A12" s="17" t="s">
        <v>385</v>
      </c>
      <c r="B12" s="8" t="s">
        <v>556</v>
      </c>
      <c r="C12" s="126" t="s">
        <v>178</v>
      </c>
      <c r="D12" s="127"/>
      <c r="E12" s="21">
        <f>281.4*Оглавление!H29</f>
        <v>168840</v>
      </c>
    </row>
    <row r="13" spans="1:27" ht="64.95" customHeight="1" thickBot="1">
      <c r="A13" s="12">
        <v>45715</v>
      </c>
      <c r="B13" s="8" t="s">
        <v>15</v>
      </c>
      <c r="C13" s="126" t="s">
        <v>177</v>
      </c>
      <c r="D13" s="127"/>
      <c r="E13" s="21">
        <f>291.9*Оглавление!H29</f>
        <v>175140</v>
      </c>
    </row>
    <row r="14" spans="1:27" ht="18" customHeight="1" thickBot="1">
      <c r="A14" s="80" t="s">
        <v>181</v>
      </c>
      <c r="B14" s="81"/>
      <c r="C14" s="82"/>
      <c r="D14" s="82"/>
      <c r="E14" s="83"/>
    </row>
    <row r="15" spans="1:27" ht="57" customHeight="1">
      <c r="A15" s="16" t="s">
        <v>189</v>
      </c>
      <c r="B15" s="47"/>
      <c r="C15" s="84" t="s">
        <v>192</v>
      </c>
      <c r="D15" s="85"/>
      <c r="E15" s="21">
        <f>227*Оглавление!H29</f>
        <v>136200</v>
      </c>
    </row>
    <row r="16" spans="1:27" ht="25.2" customHeight="1">
      <c r="A16" s="16" t="s">
        <v>190</v>
      </c>
      <c r="B16" s="47"/>
      <c r="C16" s="84" t="s">
        <v>193</v>
      </c>
      <c r="D16" s="85"/>
      <c r="E16" s="21">
        <f>376*Оглавление!H29</f>
        <v>225600</v>
      </c>
    </row>
    <row r="17" spans="1:5" ht="39.6" customHeight="1" thickBot="1">
      <c r="A17" s="16" t="s">
        <v>191</v>
      </c>
      <c r="B17" s="47"/>
      <c r="C17" s="84" t="s">
        <v>194</v>
      </c>
      <c r="D17" s="85"/>
      <c r="E17" s="21">
        <f>290*Оглавление!H29</f>
        <v>174000</v>
      </c>
    </row>
    <row r="18" spans="1:5" ht="16.5" customHeight="1" thickBot="1">
      <c r="A18" s="80" t="s">
        <v>182</v>
      </c>
      <c r="B18" s="81"/>
      <c r="C18" s="82"/>
      <c r="D18" s="82"/>
      <c r="E18" s="83"/>
    </row>
    <row r="19" spans="1:5" ht="56.4" customHeight="1" thickBot="1">
      <c r="A19" s="16" t="s">
        <v>436</v>
      </c>
      <c r="B19" s="47"/>
      <c r="C19" s="84" t="s">
        <v>480</v>
      </c>
      <c r="D19" s="85"/>
      <c r="E19" s="21">
        <f>104*Оглавление!H29</f>
        <v>62400</v>
      </c>
    </row>
    <row r="20" spans="1:5" ht="16.5" customHeight="1" thickBot="1">
      <c r="A20" s="80" t="s">
        <v>173</v>
      </c>
      <c r="B20" s="81"/>
      <c r="C20" s="82"/>
      <c r="D20" s="82"/>
      <c r="E20" s="83"/>
    </row>
    <row r="21" spans="1:5" ht="20.25" customHeight="1" thickBot="1">
      <c r="A21" s="17" t="s">
        <v>323</v>
      </c>
      <c r="B21" s="47"/>
      <c r="C21" s="86" t="s">
        <v>195</v>
      </c>
      <c r="D21" s="87"/>
      <c r="E21" s="21">
        <f>884*Оглавление!H29</f>
        <v>530400</v>
      </c>
    </row>
    <row r="22" spans="1:5" ht="12.75" customHeight="1" thickBot="1">
      <c r="A22" s="80" t="s">
        <v>183</v>
      </c>
      <c r="B22" s="81"/>
      <c r="C22" s="82"/>
      <c r="D22" s="82"/>
      <c r="E22" s="83"/>
    </row>
    <row r="23" spans="1:5" ht="12.75" customHeight="1">
      <c r="A23" s="24" t="s">
        <v>327</v>
      </c>
      <c r="B23" s="47"/>
      <c r="C23" s="84" t="s">
        <v>82</v>
      </c>
      <c r="D23" s="85"/>
      <c r="E23" s="21">
        <f>83*Оглавление!H29</f>
        <v>49800</v>
      </c>
    </row>
    <row r="24" spans="1:5" ht="12.75" customHeight="1">
      <c r="A24" s="24" t="s">
        <v>328</v>
      </c>
      <c r="B24" s="47"/>
      <c r="C24" s="84" t="s">
        <v>83</v>
      </c>
      <c r="D24" s="85"/>
      <c r="E24" s="21">
        <f>155*Оглавление!H29</f>
        <v>93000</v>
      </c>
    </row>
    <row r="25" spans="1:5" ht="12.75" customHeight="1">
      <c r="A25" s="24" t="s">
        <v>329</v>
      </c>
      <c r="B25" s="47"/>
      <c r="C25" s="84" t="s">
        <v>84</v>
      </c>
      <c r="D25" s="85"/>
      <c r="E25" s="21">
        <f>131.25*Оглавление!H29</f>
        <v>78750</v>
      </c>
    </row>
    <row r="26" spans="1:5" ht="12.75" customHeight="1">
      <c r="A26" s="24" t="s">
        <v>330</v>
      </c>
      <c r="B26" s="47"/>
      <c r="C26" s="84" t="s">
        <v>85</v>
      </c>
      <c r="D26" s="85"/>
      <c r="E26" s="21">
        <f>190*Оглавление!H29</f>
        <v>114000</v>
      </c>
    </row>
    <row r="27" spans="1:5" ht="21.6" customHeight="1">
      <c r="A27" s="16" t="s">
        <v>331</v>
      </c>
      <c r="B27" s="47"/>
      <c r="C27" s="84" t="s">
        <v>86</v>
      </c>
      <c r="D27" s="85"/>
      <c r="E27" s="21">
        <f>227*Оглавление!H29</f>
        <v>136200</v>
      </c>
    </row>
    <row r="28" spans="1:5" ht="12.75" customHeight="1"/>
    <row r="29" spans="1:5" ht="12.75" customHeight="1"/>
    <row r="30" spans="1:5" ht="12.75" customHeight="1"/>
    <row r="31" spans="1:5" ht="12.75" customHeight="1"/>
    <row r="32" spans="1:5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  <row r="1001" ht="12.75" customHeight="1"/>
    <row r="1002" ht="12.75" customHeight="1"/>
    <row r="1003" ht="12.75" customHeight="1"/>
    <row r="1004" ht="12.75" customHeight="1"/>
    <row r="1005" ht="12.75" customHeight="1"/>
    <row r="1006" ht="12.75" customHeight="1"/>
    <row r="1007" ht="12.75" customHeight="1"/>
  </sheetData>
  <mergeCells count="27">
    <mergeCell ref="C6:D6"/>
    <mergeCell ref="A1:E1"/>
    <mergeCell ref="C2:D2"/>
    <mergeCell ref="A3:E3"/>
    <mergeCell ref="C4:D4"/>
    <mergeCell ref="C5:D5"/>
    <mergeCell ref="A20:E20"/>
    <mergeCell ref="C16:D16"/>
    <mergeCell ref="C17:D17"/>
    <mergeCell ref="A7:E7"/>
    <mergeCell ref="A14:E14"/>
    <mergeCell ref="C15:D15"/>
    <mergeCell ref="A18:E18"/>
    <mergeCell ref="C19:D19"/>
    <mergeCell ref="C8:D8"/>
    <mergeCell ref="C9:D9"/>
    <mergeCell ref="C10:D10"/>
    <mergeCell ref="C11:D11"/>
    <mergeCell ref="C12:D12"/>
    <mergeCell ref="C13:D13"/>
    <mergeCell ref="C24:D24"/>
    <mergeCell ref="C25:D25"/>
    <mergeCell ref="C26:D26"/>
    <mergeCell ref="C27:D27"/>
    <mergeCell ref="C21:D21"/>
    <mergeCell ref="A22:E22"/>
    <mergeCell ref="C23:D23"/>
  </mergeCells>
  <phoneticPr fontId="15" type="noConversion"/>
  <pageMargins left="0.7" right="0.7" top="0.75" bottom="0.75" header="0" footer="0"/>
  <pageSetup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F2C4F5-404C-4B71-8EB2-E3E909E56868}">
  <sheetPr>
    <tabColor theme="0" tint="-0.499984740745262"/>
  </sheetPr>
  <dimension ref="A1:AA1019"/>
  <sheetViews>
    <sheetView topLeftCell="A37" zoomScale="102" zoomScaleNormal="102" workbookViewId="0">
      <selection activeCell="A46" sqref="A46:E46"/>
    </sheetView>
  </sheetViews>
  <sheetFormatPr defaultColWidth="14.44140625" defaultRowHeight="15" customHeight="1"/>
  <cols>
    <col min="1" max="2" width="18.44140625" customWidth="1"/>
    <col min="3" max="3" width="19.6640625" customWidth="1"/>
    <col min="4" max="4" width="78" customWidth="1"/>
    <col min="5" max="5" width="11.44140625" customWidth="1"/>
    <col min="6" max="7" width="8.88671875" customWidth="1"/>
    <col min="8" max="27" width="8" customWidth="1"/>
  </cols>
  <sheetData>
    <row r="1" spans="1:5" ht="12.75" customHeight="1" thickBot="1">
      <c r="A1" s="96"/>
      <c r="B1" s="96"/>
      <c r="C1" s="71"/>
      <c r="D1" s="71"/>
      <c r="E1" s="71"/>
    </row>
    <row r="2" spans="1:5" ht="20.25" customHeight="1" thickBot="1">
      <c r="A2" s="19" t="s">
        <v>12</v>
      </c>
      <c r="B2" s="45" t="s">
        <v>503</v>
      </c>
      <c r="C2" s="97" t="s">
        <v>502</v>
      </c>
      <c r="D2" s="98"/>
      <c r="E2" s="20" t="s">
        <v>44</v>
      </c>
    </row>
    <row r="3" spans="1:5" ht="16.5" customHeight="1" thickBot="1">
      <c r="A3" s="121" t="s">
        <v>272</v>
      </c>
      <c r="B3" s="122"/>
      <c r="C3" s="82"/>
      <c r="D3" s="82"/>
      <c r="E3" s="83"/>
    </row>
    <row r="4" spans="1:5" ht="49.95" customHeight="1" thickBot="1">
      <c r="A4" s="30" t="s">
        <v>386</v>
      </c>
      <c r="B4" s="61" t="s">
        <v>558</v>
      </c>
      <c r="C4" s="131" t="s">
        <v>557</v>
      </c>
      <c r="D4" s="132"/>
      <c r="E4" s="31">
        <f>5189.1*Оглавление!H29</f>
        <v>3113460</v>
      </c>
    </row>
    <row r="5" spans="1:5" ht="63.6" customHeight="1" thickBot="1">
      <c r="A5" s="32" t="s">
        <v>387</v>
      </c>
      <c r="B5" s="58" t="s">
        <v>559</v>
      </c>
      <c r="C5" s="129" t="s">
        <v>560</v>
      </c>
      <c r="D5" s="130"/>
      <c r="E5" s="33">
        <f>6556.2*Оглавление!H29</f>
        <v>3933720</v>
      </c>
    </row>
    <row r="6" spans="1:5" ht="61.2" customHeight="1" thickBot="1">
      <c r="A6" s="30" t="s">
        <v>388</v>
      </c>
      <c r="B6" s="57" t="s">
        <v>561</v>
      </c>
      <c r="C6" s="131" t="s">
        <v>273</v>
      </c>
      <c r="D6" s="132"/>
      <c r="E6" s="31">
        <f>6487.6*Оглавление!H29</f>
        <v>3892560</v>
      </c>
    </row>
    <row r="7" spans="1:5" ht="56.4" customHeight="1" thickBot="1">
      <c r="A7" s="30" t="s">
        <v>389</v>
      </c>
      <c r="B7" s="57" t="s">
        <v>562</v>
      </c>
      <c r="C7" s="131" t="s">
        <v>300</v>
      </c>
      <c r="D7" s="132"/>
      <c r="E7" s="31">
        <f>6636.56*Оглавление!H29</f>
        <v>3981936.0000000005</v>
      </c>
    </row>
    <row r="8" spans="1:5" ht="56.4" customHeight="1" thickBot="1">
      <c r="A8" s="30" t="s">
        <v>495</v>
      </c>
      <c r="B8" s="57" t="s">
        <v>564</v>
      </c>
      <c r="C8" s="131" t="s">
        <v>496</v>
      </c>
      <c r="D8" s="132"/>
      <c r="E8" s="31">
        <f>8437.8*Оглавление!H29</f>
        <v>5062680</v>
      </c>
    </row>
    <row r="9" spans="1:5" ht="56.4" customHeight="1" thickBot="1">
      <c r="A9" s="32" t="s">
        <v>494</v>
      </c>
      <c r="B9" s="58" t="s">
        <v>563</v>
      </c>
      <c r="C9" s="129" t="s">
        <v>498</v>
      </c>
      <c r="D9" s="130"/>
      <c r="E9" s="33">
        <f>9804.9*Оглавление!H29</f>
        <v>5882940</v>
      </c>
    </row>
    <row r="10" spans="1:5" ht="56.4" customHeight="1" thickBot="1">
      <c r="A10" s="32" t="s">
        <v>493</v>
      </c>
      <c r="B10" s="58" t="s">
        <v>565</v>
      </c>
      <c r="C10" s="129" t="s">
        <v>497</v>
      </c>
      <c r="D10" s="130"/>
      <c r="E10" s="33">
        <f>11103.4*Оглавление!H29</f>
        <v>6662040</v>
      </c>
    </row>
    <row r="11" spans="1:5" ht="19.2" customHeight="1" thickBot="1">
      <c r="A11" s="32" t="s">
        <v>390</v>
      </c>
      <c r="B11" s="58" t="s">
        <v>567</v>
      </c>
      <c r="C11" s="129" t="s">
        <v>280</v>
      </c>
      <c r="D11" s="130"/>
      <c r="E11" s="33">
        <f>6688.5*Оглавление!H29</f>
        <v>4013100</v>
      </c>
    </row>
    <row r="12" spans="1:5" ht="20.399999999999999" customHeight="1" thickBot="1">
      <c r="A12" s="32" t="s">
        <v>391</v>
      </c>
      <c r="B12" s="58" t="s">
        <v>566</v>
      </c>
      <c r="C12" s="129" t="s">
        <v>281</v>
      </c>
      <c r="D12" s="130"/>
      <c r="E12" s="33">
        <f>7928.2*Оглавление!H29</f>
        <v>4756920</v>
      </c>
    </row>
    <row r="13" spans="1:5" ht="12.75" customHeight="1" thickBot="1">
      <c r="A13" s="121" t="s">
        <v>491</v>
      </c>
      <c r="B13" s="122"/>
      <c r="C13" s="82"/>
      <c r="D13" s="82"/>
      <c r="E13" s="83"/>
    </row>
    <row r="14" spans="1:5" ht="12.75" customHeight="1" thickBot="1">
      <c r="A14" s="29" t="s">
        <v>463</v>
      </c>
      <c r="B14" s="51"/>
      <c r="C14" s="103" t="s">
        <v>492</v>
      </c>
      <c r="D14" s="91"/>
      <c r="E14" s="21">
        <f>1364.16*Оглавление!H29</f>
        <v>818496</v>
      </c>
    </row>
    <row r="15" spans="1:5" ht="12.75" customHeight="1" thickBot="1">
      <c r="A15" s="29" t="s">
        <v>464</v>
      </c>
      <c r="B15" s="51"/>
      <c r="C15" s="103" t="s">
        <v>501</v>
      </c>
      <c r="D15" s="91"/>
      <c r="E15" s="21">
        <f>3248.7*Оглавление!H29</f>
        <v>1949220</v>
      </c>
    </row>
    <row r="16" spans="1:5" ht="12.75" customHeight="1" thickBot="1">
      <c r="A16" s="29" t="s">
        <v>465</v>
      </c>
      <c r="B16" s="51"/>
      <c r="C16" s="103" t="s">
        <v>489</v>
      </c>
      <c r="D16" s="91"/>
      <c r="E16" s="21">
        <f>4552.1*Оглавление!H29</f>
        <v>2731260</v>
      </c>
    </row>
    <row r="17" spans="1:27" ht="12.75" customHeight="1" thickBot="1">
      <c r="A17" s="39" t="s">
        <v>499</v>
      </c>
      <c r="B17" s="59"/>
      <c r="C17" s="103" t="s">
        <v>500</v>
      </c>
      <c r="D17" s="91"/>
      <c r="E17" s="21">
        <f>1364.16*Оглавление!H29</f>
        <v>818496</v>
      </c>
    </row>
    <row r="18" spans="1:27" ht="12.75" customHeight="1" thickBot="1">
      <c r="A18" s="39" t="s">
        <v>485</v>
      </c>
      <c r="B18" s="59"/>
      <c r="C18" s="103" t="s">
        <v>487</v>
      </c>
      <c r="D18" s="91"/>
      <c r="E18" s="21">
        <f>3248.7*Оглавление!H29</f>
        <v>1949220</v>
      </c>
    </row>
    <row r="19" spans="1:27" ht="12.75" customHeight="1" thickBot="1">
      <c r="A19" s="39" t="s">
        <v>486</v>
      </c>
      <c r="B19" s="59"/>
      <c r="C19" s="103" t="s">
        <v>488</v>
      </c>
      <c r="D19" s="91"/>
      <c r="E19" s="21">
        <f>4552.1*Оглавление!H29</f>
        <v>2731260</v>
      </c>
    </row>
    <row r="20" spans="1:27" ht="20.399999999999999" customHeight="1" thickBot="1">
      <c r="A20" s="40"/>
      <c r="B20" s="60"/>
      <c r="C20" s="41"/>
      <c r="D20" s="42"/>
      <c r="E20" s="43"/>
    </row>
    <row r="21" spans="1:27" ht="16.5" customHeight="1" thickBot="1">
      <c r="A21" s="88" t="s">
        <v>13</v>
      </c>
      <c r="B21" s="89"/>
      <c r="C21" s="82"/>
      <c r="D21" s="82"/>
      <c r="E21" s="83"/>
    </row>
    <row r="22" spans="1:27" ht="63.6" customHeight="1">
      <c r="A22" s="16" t="s">
        <v>392</v>
      </c>
      <c r="B22" s="24" t="s">
        <v>196</v>
      </c>
      <c r="C22" s="107" t="s">
        <v>201</v>
      </c>
      <c r="D22" s="108"/>
      <c r="E22" s="21">
        <f>329*Оглавление!H29</f>
        <v>197400</v>
      </c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</row>
    <row r="23" spans="1:27" ht="63.6" customHeight="1">
      <c r="A23" s="17" t="s">
        <v>393</v>
      </c>
      <c r="B23" s="17" t="s">
        <v>14</v>
      </c>
      <c r="C23" s="109" t="s">
        <v>198</v>
      </c>
      <c r="D23" s="110"/>
      <c r="E23" s="21">
        <f>276*Оглавление!H29</f>
        <v>165600</v>
      </c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</row>
    <row r="24" spans="1:27" ht="63.6" customHeight="1">
      <c r="A24" s="17" t="s">
        <v>394</v>
      </c>
      <c r="B24" s="17" t="s">
        <v>15</v>
      </c>
      <c r="C24" s="109" t="s">
        <v>199</v>
      </c>
      <c r="D24" s="110"/>
      <c r="E24" s="21">
        <f>329*Оглавление!H29</f>
        <v>197400</v>
      </c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63.6" customHeight="1">
      <c r="A25" s="17" t="s">
        <v>395</v>
      </c>
      <c r="B25" s="17" t="s">
        <v>197</v>
      </c>
      <c r="C25" s="109" t="s">
        <v>279</v>
      </c>
      <c r="D25" s="110"/>
      <c r="E25" s="21">
        <f>316*Оглавление!H29</f>
        <v>189600</v>
      </c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</row>
    <row r="26" spans="1:27" ht="64.95" customHeight="1" thickBot="1">
      <c r="A26" s="17" t="s">
        <v>396</v>
      </c>
      <c r="B26" s="17" t="s">
        <v>185</v>
      </c>
      <c r="C26" s="111" t="s">
        <v>200</v>
      </c>
      <c r="D26" s="112"/>
      <c r="E26" s="21">
        <f>278*Оглавление!H29</f>
        <v>166800</v>
      </c>
    </row>
    <row r="27" spans="1:27" ht="22.95" customHeight="1" thickBot="1">
      <c r="A27" s="88" t="s">
        <v>592</v>
      </c>
      <c r="B27" s="81"/>
      <c r="C27" s="82"/>
      <c r="D27" s="82"/>
      <c r="E27" s="83"/>
    </row>
    <row r="28" spans="1:27" ht="65.400000000000006" customHeight="1">
      <c r="A28" s="16" t="s">
        <v>397</v>
      </c>
      <c r="B28" s="47"/>
      <c r="C28" s="84" t="s">
        <v>202</v>
      </c>
      <c r="D28" s="85"/>
      <c r="E28" s="21">
        <f>194*Оглавление!H29</f>
        <v>116400</v>
      </c>
    </row>
    <row r="29" spans="1:27" ht="64.95" customHeight="1" thickBot="1">
      <c r="A29" s="16" t="s">
        <v>398</v>
      </c>
      <c r="B29" s="47"/>
      <c r="C29" s="84" t="s">
        <v>203</v>
      </c>
      <c r="D29" s="85"/>
      <c r="E29" s="21">
        <f>533*Оглавление!H29</f>
        <v>319800</v>
      </c>
    </row>
    <row r="30" spans="1:27" ht="18" customHeight="1" thickBot="1">
      <c r="A30" s="88" t="s">
        <v>591</v>
      </c>
      <c r="B30" s="89"/>
      <c r="C30" s="82"/>
      <c r="D30" s="82"/>
      <c r="E30" s="83"/>
    </row>
    <row r="31" spans="1:27" ht="57" customHeight="1">
      <c r="A31" s="16" t="s">
        <v>169</v>
      </c>
      <c r="B31" s="47"/>
      <c r="C31" s="84" t="s">
        <v>171</v>
      </c>
      <c r="D31" s="85"/>
      <c r="E31" s="21">
        <f>76*Оглавление!H29</f>
        <v>45600</v>
      </c>
    </row>
    <row r="32" spans="1:27" ht="57" customHeight="1">
      <c r="A32" s="16" t="s">
        <v>170</v>
      </c>
      <c r="B32" s="47"/>
      <c r="C32" s="84" t="s">
        <v>172</v>
      </c>
      <c r="D32" s="85"/>
      <c r="E32" s="21">
        <f>179*Оглавление!H29</f>
        <v>107400</v>
      </c>
    </row>
    <row r="33" spans="1:5" ht="54.6" customHeight="1">
      <c r="A33" s="16" t="s">
        <v>343</v>
      </c>
      <c r="B33" s="47"/>
      <c r="C33" s="84" t="s">
        <v>206</v>
      </c>
      <c r="D33" s="85"/>
      <c r="E33" s="21">
        <f>96*Оглавление!H29</f>
        <v>57600</v>
      </c>
    </row>
    <row r="34" spans="1:5" ht="53.4" customHeight="1">
      <c r="A34" s="16" t="s">
        <v>344</v>
      </c>
      <c r="B34" s="47"/>
      <c r="C34" s="84" t="s">
        <v>205</v>
      </c>
      <c r="D34" s="85"/>
      <c r="E34" s="21">
        <f>96*Оглавление!H29</f>
        <v>57600</v>
      </c>
    </row>
    <row r="35" spans="1:5" ht="55.2" customHeight="1">
      <c r="A35" s="16" t="s">
        <v>345</v>
      </c>
      <c r="B35" s="47"/>
      <c r="C35" s="84" t="s">
        <v>204</v>
      </c>
      <c r="D35" s="85"/>
      <c r="E35" s="21">
        <f>179*Оглавление!H29</f>
        <v>107400</v>
      </c>
    </row>
    <row r="36" spans="1:5" ht="39.6" customHeight="1">
      <c r="A36" s="16" t="s">
        <v>346</v>
      </c>
      <c r="B36" s="47"/>
      <c r="C36" s="84" t="s">
        <v>207</v>
      </c>
      <c r="D36" s="85"/>
      <c r="E36" s="21">
        <f>179*Оглавление!H29</f>
        <v>107400</v>
      </c>
    </row>
    <row r="37" spans="1:5" ht="39.6" customHeight="1">
      <c r="A37" s="16" t="s">
        <v>347</v>
      </c>
      <c r="B37" s="47"/>
      <c r="C37" s="84" t="s">
        <v>282</v>
      </c>
      <c r="D37" s="85"/>
      <c r="E37" s="21">
        <f>86.75*Оглавление!H29</f>
        <v>52050</v>
      </c>
    </row>
    <row r="38" spans="1:5" ht="39.6" customHeight="1">
      <c r="A38" s="16" t="s">
        <v>348</v>
      </c>
      <c r="B38" s="47"/>
      <c r="C38" s="84" t="s">
        <v>283</v>
      </c>
      <c r="D38" s="85"/>
      <c r="E38" s="21">
        <f>80*Оглавление!H29</f>
        <v>48000</v>
      </c>
    </row>
    <row r="39" spans="1:5" ht="39.6" customHeight="1" thickBot="1">
      <c r="A39" s="16" t="s">
        <v>399</v>
      </c>
      <c r="B39" s="47"/>
      <c r="C39" s="84" t="s">
        <v>208</v>
      </c>
      <c r="D39" s="85"/>
      <c r="E39" s="21">
        <f>113*Оглавление!H29</f>
        <v>67800</v>
      </c>
    </row>
    <row r="40" spans="1:5" ht="16.5" customHeight="1" thickBot="1">
      <c r="A40" s="88" t="s">
        <v>593</v>
      </c>
      <c r="B40" s="81"/>
      <c r="C40" s="82"/>
      <c r="D40" s="82"/>
      <c r="E40" s="83"/>
    </row>
    <row r="41" spans="1:5" ht="56.4" customHeight="1">
      <c r="A41" s="16" t="s">
        <v>400</v>
      </c>
      <c r="B41" s="47"/>
      <c r="C41" s="84" t="s">
        <v>211</v>
      </c>
      <c r="D41" s="85"/>
      <c r="E41" s="21">
        <f>87*Оглавление!H29</f>
        <v>52200</v>
      </c>
    </row>
    <row r="42" spans="1:5" ht="54" customHeight="1">
      <c r="A42" s="17" t="s">
        <v>401</v>
      </c>
      <c r="B42" s="48"/>
      <c r="C42" s="84" t="s">
        <v>595</v>
      </c>
      <c r="D42" s="85"/>
      <c r="E42" s="21">
        <f>66.25*Оглавление!H29</f>
        <v>39750</v>
      </c>
    </row>
    <row r="43" spans="1:5" ht="27.6" customHeight="1">
      <c r="A43" s="17" t="s">
        <v>321</v>
      </c>
      <c r="B43" s="48"/>
      <c r="C43" s="84" t="s">
        <v>274</v>
      </c>
      <c r="D43" s="85"/>
      <c r="E43" s="21">
        <f>74*Оглавление!H29</f>
        <v>44400</v>
      </c>
    </row>
    <row r="44" spans="1:5" ht="24" customHeight="1">
      <c r="A44" s="17" t="s">
        <v>322</v>
      </c>
      <c r="B44" s="48"/>
      <c r="C44" s="84" t="s">
        <v>599</v>
      </c>
      <c r="D44" s="85"/>
      <c r="E44" s="21">
        <f>60*Оглавление!H29</f>
        <v>36000</v>
      </c>
    </row>
    <row r="45" spans="1:5" ht="24" customHeight="1" thickBot="1">
      <c r="A45" s="18" t="s">
        <v>402</v>
      </c>
      <c r="B45" s="18"/>
      <c r="C45" s="84" t="s">
        <v>598</v>
      </c>
      <c r="D45" s="85"/>
      <c r="E45" s="21">
        <f>41*Оглавление!H29</f>
        <v>24600</v>
      </c>
    </row>
    <row r="46" spans="1:5" ht="16.5" customHeight="1" thickBot="1">
      <c r="A46" s="80" t="s">
        <v>276</v>
      </c>
      <c r="B46" s="81"/>
      <c r="C46" s="82"/>
      <c r="D46" s="82"/>
      <c r="E46" s="83"/>
    </row>
    <row r="47" spans="1:5" ht="20.25" customHeight="1" thickBot="1">
      <c r="A47" s="17" t="s">
        <v>403</v>
      </c>
      <c r="B47" s="47" t="s">
        <v>585</v>
      </c>
      <c r="C47" s="86" t="s">
        <v>277</v>
      </c>
      <c r="D47" s="87"/>
      <c r="E47" s="21">
        <f>994*Оглавление!H29</f>
        <v>596400</v>
      </c>
    </row>
    <row r="48" spans="1:5" ht="12.75" customHeight="1" thickBot="1">
      <c r="A48" s="88" t="s">
        <v>594</v>
      </c>
      <c r="B48" s="81"/>
      <c r="C48" s="82"/>
      <c r="D48" s="82"/>
      <c r="E48" s="83"/>
    </row>
    <row r="49" spans="1:5" ht="12.75" customHeight="1">
      <c r="A49" s="24" t="s">
        <v>330</v>
      </c>
      <c r="B49" s="47"/>
      <c r="C49" s="84" t="s">
        <v>85</v>
      </c>
      <c r="D49" s="85"/>
      <c r="E49" s="21">
        <f>190*Оглавление!H29</f>
        <v>114000</v>
      </c>
    </row>
    <row r="50" spans="1:5" ht="21.6" customHeight="1">
      <c r="A50" s="16" t="s">
        <v>331</v>
      </c>
      <c r="B50" s="47"/>
      <c r="C50" s="84" t="s">
        <v>86</v>
      </c>
      <c r="D50" s="85"/>
      <c r="E50" s="21">
        <f>227*Оглавление!H29</f>
        <v>136200</v>
      </c>
    </row>
    <row r="51" spans="1:5" ht="49.95" customHeight="1">
      <c r="A51" s="16" t="s">
        <v>404</v>
      </c>
      <c r="B51" s="47"/>
      <c r="C51" s="84" t="s">
        <v>212</v>
      </c>
      <c r="D51" s="85"/>
      <c r="E51" s="21">
        <f>1053.25*Оглавление!H29</f>
        <v>631950</v>
      </c>
    </row>
    <row r="52" spans="1:5" ht="12.75" customHeight="1" thickBot="1">
      <c r="A52" s="123"/>
      <c r="B52" s="123"/>
      <c r="C52" s="123"/>
      <c r="D52" s="123"/>
      <c r="E52" s="123"/>
    </row>
    <row r="53" spans="1:5" ht="12.75" customHeight="1"/>
    <row r="54" spans="1:5" ht="12.75" customHeight="1"/>
    <row r="55" spans="1:5" ht="12.75" customHeight="1"/>
    <row r="56" spans="1:5" ht="12.75" customHeight="1"/>
    <row r="57" spans="1:5" ht="12.75" customHeight="1"/>
    <row r="58" spans="1:5" ht="12.75" customHeight="1"/>
    <row r="59" spans="1:5" ht="12.75" customHeight="1"/>
    <row r="60" spans="1:5" ht="12.75" customHeight="1"/>
    <row r="61" spans="1:5" ht="12.75" customHeight="1"/>
    <row r="62" spans="1:5" ht="12.75" customHeight="1"/>
    <row r="63" spans="1:5" ht="12.75" customHeight="1"/>
    <row r="64" spans="1:5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  <row r="1001" ht="12.75" customHeight="1"/>
    <row r="1002" ht="12.75" customHeight="1"/>
    <row r="1003" ht="12.75" customHeight="1"/>
    <row r="1004" ht="12.75" customHeight="1"/>
    <row r="1005" ht="12.75" customHeight="1"/>
    <row r="1006" ht="12.75" customHeight="1"/>
    <row r="1007" ht="12.75" customHeight="1"/>
    <row r="1008" ht="12.75" customHeight="1"/>
    <row r="1009" ht="12.75" customHeight="1"/>
    <row r="1010" ht="12.75" customHeight="1"/>
    <row r="1011" ht="12.75" customHeight="1"/>
    <row r="1012" ht="12.75" customHeight="1"/>
    <row r="1013" ht="12.75" customHeight="1"/>
    <row r="1014" ht="12.75" customHeight="1"/>
    <row r="1015" ht="12.75" customHeight="1"/>
    <row r="1016" ht="12.75" customHeight="1"/>
    <row r="1017" ht="12.75" customHeight="1"/>
    <row r="1018" ht="12.75" customHeight="1"/>
    <row r="1019" ht="12.75" customHeight="1"/>
  </sheetData>
  <mergeCells count="51">
    <mergeCell ref="A13:E13"/>
    <mergeCell ref="C14:D14"/>
    <mergeCell ref="C15:D15"/>
    <mergeCell ref="C16:D16"/>
    <mergeCell ref="C18:D18"/>
    <mergeCell ref="C19:D19"/>
    <mergeCell ref="C17:D17"/>
    <mergeCell ref="A52:E52"/>
    <mergeCell ref="A46:E46"/>
    <mergeCell ref="C47:D47"/>
    <mergeCell ref="C45:D45"/>
    <mergeCell ref="C31:D31"/>
    <mergeCell ref="C32:D32"/>
    <mergeCell ref="C33:D33"/>
    <mergeCell ref="C22:D22"/>
    <mergeCell ref="C23:D23"/>
    <mergeCell ref="C24:D24"/>
    <mergeCell ref="C25:D25"/>
    <mergeCell ref="C26:D26"/>
    <mergeCell ref="C51:D51"/>
    <mergeCell ref="A27:E27"/>
    <mergeCell ref="A1:E1"/>
    <mergeCell ref="C2:D2"/>
    <mergeCell ref="A3:E3"/>
    <mergeCell ref="C5:D5"/>
    <mergeCell ref="C44:D44"/>
    <mergeCell ref="C9:D9"/>
    <mergeCell ref="C10:D10"/>
    <mergeCell ref="C8:D8"/>
    <mergeCell ref="C4:D4"/>
    <mergeCell ref="C6:D6"/>
    <mergeCell ref="C7:D7"/>
    <mergeCell ref="C11:D11"/>
    <mergeCell ref="C12:D12"/>
    <mergeCell ref="C39:D39"/>
    <mergeCell ref="A21:E21"/>
    <mergeCell ref="A30:E30"/>
    <mergeCell ref="C28:D28"/>
    <mergeCell ref="C29:D29"/>
    <mergeCell ref="C34:D34"/>
    <mergeCell ref="C35:D35"/>
    <mergeCell ref="C36:D36"/>
    <mergeCell ref="C50:D50"/>
    <mergeCell ref="C41:D41"/>
    <mergeCell ref="C42:D42"/>
    <mergeCell ref="C43:D43"/>
    <mergeCell ref="C37:D37"/>
    <mergeCell ref="C38:D38"/>
    <mergeCell ref="A40:E40"/>
    <mergeCell ref="A48:E48"/>
    <mergeCell ref="C49:D49"/>
  </mergeCells>
  <phoneticPr fontId="15" type="noConversion"/>
  <pageMargins left="0.7" right="0.7" top="0.75" bottom="0.75" header="0" footer="0"/>
  <pageSetup orientation="landscape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F789A5-B6AC-4349-8414-84C88F1FC112}">
  <sheetPr>
    <tabColor theme="8" tint="0.39997558519241921"/>
  </sheetPr>
  <dimension ref="A1:AA1030"/>
  <sheetViews>
    <sheetView topLeftCell="A41" workbookViewId="0">
      <selection activeCell="C46" sqref="C46:D46"/>
    </sheetView>
  </sheetViews>
  <sheetFormatPr defaultColWidth="14.44140625" defaultRowHeight="15" customHeight="1"/>
  <cols>
    <col min="1" max="1" width="18.44140625" customWidth="1"/>
    <col min="2" max="2" width="22.6640625" customWidth="1"/>
    <col min="3" max="3" width="19.6640625" customWidth="1"/>
    <col min="4" max="4" width="78" customWidth="1"/>
    <col min="5" max="5" width="11.44140625" customWidth="1"/>
    <col min="6" max="7" width="8.88671875" customWidth="1"/>
    <col min="8" max="27" width="8" customWidth="1"/>
  </cols>
  <sheetData>
    <row r="1" spans="1:5" ht="12.75" customHeight="1" thickBot="1">
      <c r="A1" s="96"/>
      <c r="B1" s="96"/>
      <c r="C1" s="71"/>
      <c r="D1" s="71"/>
      <c r="E1" s="71"/>
    </row>
    <row r="2" spans="1:5" ht="20.25" customHeight="1" thickBot="1">
      <c r="A2" s="19" t="s">
        <v>12</v>
      </c>
      <c r="B2" s="45" t="s">
        <v>503</v>
      </c>
      <c r="C2" s="97" t="s">
        <v>502</v>
      </c>
      <c r="D2" s="98"/>
      <c r="E2" s="20" t="s">
        <v>44</v>
      </c>
    </row>
    <row r="3" spans="1:5" ht="16.5" customHeight="1" thickBot="1">
      <c r="A3" s="99" t="s">
        <v>213</v>
      </c>
      <c r="B3" s="100"/>
      <c r="C3" s="82"/>
      <c r="D3" s="82"/>
      <c r="E3" s="83"/>
    </row>
    <row r="4" spans="1:5" ht="49.95" customHeight="1" thickBot="1">
      <c r="A4" s="30" t="s">
        <v>405</v>
      </c>
      <c r="B4" s="61" t="s">
        <v>568</v>
      </c>
      <c r="C4" s="131" t="s">
        <v>217</v>
      </c>
      <c r="D4" s="132"/>
      <c r="E4" s="31">
        <f>5659.5*Оглавление!H29</f>
        <v>3395700</v>
      </c>
    </row>
    <row r="5" spans="1:5" ht="61.2" customHeight="1" thickBot="1">
      <c r="A5" s="30" t="s">
        <v>407</v>
      </c>
      <c r="B5" s="61" t="s">
        <v>570</v>
      </c>
      <c r="C5" s="131" t="s">
        <v>216</v>
      </c>
      <c r="D5" s="132"/>
      <c r="E5" s="31">
        <f>5953.5*Оглавление!H29</f>
        <v>3572100</v>
      </c>
    </row>
    <row r="6" spans="1:5" ht="49.95" customHeight="1" thickBot="1">
      <c r="A6" s="30" t="s">
        <v>408</v>
      </c>
      <c r="B6" s="61" t="s">
        <v>571</v>
      </c>
      <c r="C6" s="131" t="s">
        <v>219</v>
      </c>
      <c r="D6" s="132"/>
      <c r="E6" s="31">
        <f>6453.3*Оглавление!H29</f>
        <v>3871980</v>
      </c>
    </row>
    <row r="7" spans="1:5" ht="47.4" customHeight="1" thickBot="1">
      <c r="A7" s="30" t="s">
        <v>409</v>
      </c>
      <c r="B7" s="61" t="s">
        <v>572</v>
      </c>
      <c r="C7" s="131" t="s">
        <v>214</v>
      </c>
      <c r="D7" s="132"/>
      <c r="E7" s="31">
        <f>7129.5*Оглавление!H29</f>
        <v>4277700</v>
      </c>
    </row>
    <row r="8" spans="1:5" ht="46.95" customHeight="1" thickBot="1">
      <c r="A8" s="30" t="s">
        <v>410</v>
      </c>
      <c r="B8" s="61" t="s">
        <v>573</v>
      </c>
      <c r="C8" s="131" t="s">
        <v>215</v>
      </c>
      <c r="D8" s="132"/>
      <c r="E8" s="31">
        <f>7227.5*Оглавление!H29</f>
        <v>4336500</v>
      </c>
    </row>
    <row r="9" spans="1:5" ht="46.95" customHeight="1" thickBot="1">
      <c r="A9" s="30" t="s">
        <v>411</v>
      </c>
      <c r="B9" s="61" t="s">
        <v>574</v>
      </c>
      <c r="C9" s="131" t="s">
        <v>224</v>
      </c>
      <c r="D9" s="132"/>
      <c r="E9" s="31">
        <f>9623.6*Оглавление!H29</f>
        <v>5774160</v>
      </c>
    </row>
    <row r="10" spans="1:5" ht="46.95" customHeight="1" thickBot="1">
      <c r="A10" s="30" t="s">
        <v>412</v>
      </c>
      <c r="B10" s="61" t="s">
        <v>575</v>
      </c>
      <c r="C10" s="131" t="s">
        <v>225</v>
      </c>
      <c r="D10" s="132"/>
      <c r="E10" s="31">
        <f>10412.5*Оглавление!H29</f>
        <v>6247500</v>
      </c>
    </row>
    <row r="11" spans="1:5" ht="46.2" customHeight="1" thickBot="1">
      <c r="A11" s="32" t="s">
        <v>406</v>
      </c>
      <c r="B11" s="62" t="s">
        <v>569</v>
      </c>
      <c r="C11" s="129" t="s">
        <v>218</v>
      </c>
      <c r="D11" s="130"/>
      <c r="E11" s="33">
        <f>6845.3*Оглавление!H29</f>
        <v>4107180</v>
      </c>
    </row>
    <row r="12" spans="1:5" ht="48" customHeight="1" thickBot="1">
      <c r="A12" s="32" t="s">
        <v>413</v>
      </c>
      <c r="B12" s="62" t="s">
        <v>576</v>
      </c>
      <c r="C12" s="129" t="s">
        <v>220</v>
      </c>
      <c r="D12" s="130"/>
      <c r="E12" s="33">
        <f>8315.3*Оглавление!H29</f>
        <v>4989180</v>
      </c>
    </row>
    <row r="13" spans="1:5" ht="48" customHeight="1" thickBot="1">
      <c r="A13" s="32" t="s">
        <v>414</v>
      </c>
      <c r="B13" s="62" t="s">
        <v>577</v>
      </c>
      <c r="C13" s="129" t="s">
        <v>221</v>
      </c>
      <c r="D13" s="130"/>
      <c r="E13" s="33">
        <f>7139.3*Оглавление!H29</f>
        <v>4283580</v>
      </c>
    </row>
    <row r="14" spans="1:5" ht="57.6" customHeight="1" thickBot="1">
      <c r="A14" s="32" t="s">
        <v>415</v>
      </c>
      <c r="B14" s="62" t="s">
        <v>578</v>
      </c>
      <c r="C14" s="129" t="s">
        <v>222</v>
      </c>
      <c r="D14" s="130"/>
      <c r="E14" s="33">
        <f>8413.3*Оглавление!H29</f>
        <v>5047980</v>
      </c>
    </row>
    <row r="15" spans="1:5" ht="48.6" customHeight="1" thickBot="1">
      <c r="A15" s="32" t="s">
        <v>416</v>
      </c>
      <c r="B15" s="62" t="s">
        <v>579</v>
      </c>
      <c r="C15" s="129" t="s">
        <v>223</v>
      </c>
      <c r="D15" s="130"/>
      <c r="E15" s="33">
        <f>7639.1*Оглавление!H29</f>
        <v>4583460</v>
      </c>
    </row>
    <row r="16" spans="1:5" ht="48.6" customHeight="1" thickBot="1">
      <c r="A16" s="32" t="s">
        <v>417</v>
      </c>
      <c r="B16" s="62" t="s">
        <v>580</v>
      </c>
      <c r="C16" s="129" t="s">
        <v>226</v>
      </c>
      <c r="D16" s="130"/>
      <c r="E16" s="33">
        <f>10809.4*Оглавление!H29</f>
        <v>6485640</v>
      </c>
    </row>
    <row r="17" spans="1:27" ht="57.6" customHeight="1" thickBot="1">
      <c r="A17" s="32" t="s">
        <v>418</v>
      </c>
      <c r="B17" s="62" t="s">
        <v>581</v>
      </c>
      <c r="C17" s="129" t="s">
        <v>227</v>
      </c>
      <c r="D17" s="130"/>
      <c r="E17" s="33">
        <f>11603.2*Оглавление!H29</f>
        <v>6961920</v>
      </c>
    </row>
    <row r="18" spans="1:27" ht="57.6" customHeight="1" thickBot="1">
      <c r="A18" s="32" t="s">
        <v>419</v>
      </c>
      <c r="B18" s="62" t="s">
        <v>582</v>
      </c>
      <c r="C18" s="129" t="s">
        <v>228</v>
      </c>
      <c r="D18" s="130"/>
      <c r="E18" s="33">
        <f>11377.8*Оглавление!H29</f>
        <v>6826680</v>
      </c>
    </row>
    <row r="19" spans="1:27" ht="51.6" customHeight="1" thickBot="1">
      <c r="A19" s="32" t="s">
        <v>420</v>
      </c>
      <c r="B19" s="62" t="s">
        <v>583</v>
      </c>
      <c r="C19" s="129" t="s">
        <v>229</v>
      </c>
      <c r="D19" s="130"/>
      <c r="E19" s="33">
        <f>12171.6*Оглавление!H29</f>
        <v>7302960</v>
      </c>
    </row>
    <row r="20" spans="1:27" ht="18.600000000000001" customHeight="1" thickBot="1">
      <c r="A20" s="99" t="s">
        <v>238</v>
      </c>
      <c r="B20" s="100"/>
      <c r="C20" s="82"/>
      <c r="D20" s="82"/>
      <c r="E20" s="83"/>
    </row>
    <row r="21" spans="1:27" ht="23.4" customHeight="1" thickBot="1">
      <c r="A21" s="29" t="s">
        <v>421</v>
      </c>
      <c r="B21" s="51"/>
      <c r="C21" s="103" t="s">
        <v>230</v>
      </c>
      <c r="D21" s="91"/>
      <c r="E21" s="21">
        <f>1189.72*Оглавление!H29</f>
        <v>713832</v>
      </c>
    </row>
    <row r="22" spans="1:27" ht="18" customHeight="1" thickBot="1">
      <c r="A22" s="29" t="s">
        <v>422</v>
      </c>
      <c r="B22" s="51"/>
      <c r="C22" s="103" t="s">
        <v>231</v>
      </c>
      <c r="D22" s="91"/>
      <c r="E22" s="21">
        <f>3964.1*Оглавление!H29</f>
        <v>2378460</v>
      </c>
    </row>
    <row r="23" spans="1:27" ht="18" customHeight="1" thickBot="1">
      <c r="A23" s="29" t="s">
        <v>423</v>
      </c>
      <c r="B23" s="51"/>
      <c r="C23" s="103" t="s">
        <v>232</v>
      </c>
      <c r="D23" s="91"/>
      <c r="E23" s="21">
        <f>4532.5*Оглавление!H29</f>
        <v>2719500</v>
      </c>
    </row>
    <row r="24" spans="1:27" ht="18" customHeight="1" thickBot="1">
      <c r="A24" s="29" t="s">
        <v>424</v>
      </c>
      <c r="B24" s="51"/>
      <c r="C24" s="103" t="s">
        <v>233</v>
      </c>
      <c r="D24" s="91"/>
      <c r="E24" s="21">
        <f>793.8*Оглавление!H29</f>
        <v>476280</v>
      </c>
    </row>
    <row r="25" spans="1:27" ht="15.6" customHeight="1" thickBot="1">
      <c r="A25" s="29" t="s">
        <v>425</v>
      </c>
      <c r="B25" s="51"/>
      <c r="C25" s="103" t="s">
        <v>234</v>
      </c>
      <c r="D25" s="91"/>
      <c r="E25" s="21">
        <f>907.48*Оглавление!H29</f>
        <v>544488</v>
      </c>
    </row>
    <row r="26" spans="1:27" ht="13.2" customHeight="1" thickBot="1">
      <c r="A26" s="29" t="s">
        <v>426</v>
      </c>
      <c r="B26" s="51"/>
      <c r="C26" s="103" t="s">
        <v>235</v>
      </c>
      <c r="D26" s="91"/>
      <c r="E26" s="21">
        <f>1020.18*Оглавление!H29</f>
        <v>612108</v>
      </c>
    </row>
    <row r="27" spans="1:27" ht="16.95" customHeight="1" thickBot="1">
      <c r="A27" s="29" t="s">
        <v>427</v>
      </c>
      <c r="B27" s="51"/>
      <c r="C27" s="103" t="s">
        <v>236</v>
      </c>
      <c r="D27" s="91"/>
      <c r="E27" s="21">
        <f>1020.18*Оглавление!H29</f>
        <v>612108</v>
      </c>
    </row>
    <row r="28" spans="1:27" ht="16.95" customHeight="1" thickBot="1">
      <c r="A28" s="29" t="s">
        <v>428</v>
      </c>
      <c r="B28" s="51"/>
      <c r="C28" s="128" t="s">
        <v>237</v>
      </c>
      <c r="D28" s="93"/>
      <c r="E28" s="21">
        <f>907.48*Оглавление!H29</f>
        <v>544488</v>
      </c>
    </row>
    <row r="29" spans="1:27" ht="15.6" customHeight="1" thickBot="1">
      <c r="A29" s="88" t="s">
        <v>247</v>
      </c>
      <c r="B29" s="89"/>
      <c r="C29" s="82"/>
      <c r="D29" s="82"/>
      <c r="E29" s="83"/>
    </row>
    <row r="30" spans="1:27" ht="63.6" customHeight="1">
      <c r="A30" s="16" t="s">
        <v>429</v>
      </c>
      <c r="B30" s="10" t="s">
        <v>14</v>
      </c>
      <c r="C30" s="107" t="s">
        <v>239</v>
      </c>
      <c r="D30" s="108"/>
      <c r="E30" s="21">
        <f>388*Оглавление!H29</f>
        <v>232800</v>
      </c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</row>
    <row r="31" spans="1:27" ht="63.6" customHeight="1">
      <c r="A31" s="16" t="s">
        <v>430</v>
      </c>
      <c r="B31" s="10" t="s">
        <v>15</v>
      </c>
      <c r="C31" s="109" t="s">
        <v>240</v>
      </c>
      <c r="D31" s="110"/>
      <c r="E31" s="21">
        <f>376*Оглавление!H29</f>
        <v>225600</v>
      </c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</row>
    <row r="32" spans="1:27" ht="63.6" customHeight="1">
      <c r="A32" s="16" t="s">
        <v>431</v>
      </c>
      <c r="B32" s="8" t="s">
        <v>17</v>
      </c>
      <c r="C32" s="109" t="s">
        <v>241</v>
      </c>
      <c r="D32" s="110"/>
      <c r="E32" s="21">
        <f>442*Оглавление!H29</f>
        <v>265200</v>
      </c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</row>
    <row r="33" spans="1:12" ht="58.95" customHeight="1">
      <c r="A33" s="16" t="s">
        <v>432</v>
      </c>
      <c r="B33" s="8" t="s">
        <v>197</v>
      </c>
      <c r="C33" s="109" t="s">
        <v>242</v>
      </c>
      <c r="D33" s="110"/>
      <c r="E33" s="21">
        <f>369*Оглавление!H29</f>
        <v>221400</v>
      </c>
      <c r="L33" s="9"/>
    </row>
    <row r="34" spans="1:12" ht="56.4" customHeight="1" thickBot="1">
      <c r="A34" s="16" t="s">
        <v>433</v>
      </c>
      <c r="B34" s="8" t="s">
        <v>185</v>
      </c>
      <c r="C34" s="111" t="s">
        <v>200</v>
      </c>
      <c r="D34" s="112"/>
      <c r="E34" s="21">
        <f>266*Оглавление!H29</f>
        <v>159600</v>
      </c>
      <c r="L34" s="9"/>
    </row>
    <row r="35" spans="1:12" ht="22.95" customHeight="1" thickBot="1">
      <c r="A35" s="88" t="s">
        <v>278</v>
      </c>
      <c r="B35" s="81"/>
      <c r="C35" s="82"/>
      <c r="D35" s="82"/>
      <c r="E35" s="83"/>
    </row>
    <row r="36" spans="1:12" ht="65.400000000000006" customHeight="1">
      <c r="A36" s="16" t="s">
        <v>434</v>
      </c>
      <c r="B36" s="47"/>
      <c r="C36" s="84" t="s">
        <v>202</v>
      </c>
      <c r="D36" s="85"/>
      <c r="E36" s="21">
        <f>185*Оглавление!H29</f>
        <v>111000</v>
      </c>
    </row>
    <row r="37" spans="1:12" ht="64.95" customHeight="1" thickBot="1">
      <c r="A37" s="16" t="s">
        <v>435</v>
      </c>
      <c r="B37" s="47"/>
      <c r="C37" s="84" t="s">
        <v>203</v>
      </c>
      <c r="D37" s="85"/>
      <c r="E37" s="21">
        <f>538*Оглавление!H29</f>
        <v>322800</v>
      </c>
    </row>
    <row r="38" spans="1:12" ht="18" customHeight="1" thickBot="1">
      <c r="A38" s="80" t="s">
        <v>243</v>
      </c>
      <c r="B38" s="81"/>
      <c r="C38" s="82"/>
      <c r="D38" s="82"/>
      <c r="E38" s="83"/>
    </row>
    <row r="39" spans="1:12" ht="57" customHeight="1">
      <c r="A39" s="16" t="s">
        <v>189</v>
      </c>
      <c r="B39" s="47"/>
      <c r="C39" s="84" t="s">
        <v>248</v>
      </c>
      <c r="D39" s="85"/>
      <c r="E39" s="21">
        <f>227*Оглавление!H29</f>
        <v>136200</v>
      </c>
    </row>
    <row r="40" spans="1:12" ht="57" customHeight="1">
      <c r="A40" s="16" t="s">
        <v>190</v>
      </c>
      <c r="B40" s="47"/>
      <c r="C40" s="84" t="s">
        <v>249</v>
      </c>
      <c r="D40" s="85"/>
      <c r="E40" s="21">
        <f>376*Оглавление!H29</f>
        <v>225600</v>
      </c>
    </row>
    <row r="41" spans="1:12" ht="54.6" customHeight="1" thickBot="1">
      <c r="A41" s="16" t="s">
        <v>191</v>
      </c>
      <c r="B41" s="47"/>
      <c r="C41" s="84" t="s">
        <v>250</v>
      </c>
      <c r="D41" s="85"/>
      <c r="E41" s="21">
        <f>290*Оглавление!H29</f>
        <v>174000</v>
      </c>
    </row>
    <row r="42" spans="1:12" ht="16.5" customHeight="1" thickBot="1">
      <c r="A42" s="80" t="s">
        <v>244</v>
      </c>
      <c r="B42" s="81"/>
      <c r="C42" s="82"/>
      <c r="D42" s="82"/>
      <c r="E42" s="83"/>
    </row>
    <row r="43" spans="1:12" ht="54" customHeight="1">
      <c r="A43" s="17" t="s">
        <v>401</v>
      </c>
      <c r="B43" s="48"/>
      <c r="C43" s="84" t="s">
        <v>595</v>
      </c>
      <c r="D43" s="85"/>
      <c r="E43" s="21">
        <f>66.25*Оглавление!H29</f>
        <v>39750</v>
      </c>
    </row>
    <row r="44" spans="1:12" ht="27.6" customHeight="1">
      <c r="A44" s="17" t="s">
        <v>321</v>
      </c>
      <c r="B44" s="48"/>
      <c r="C44" s="84" t="s">
        <v>74</v>
      </c>
      <c r="D44" s="85"/>
      <c r="E44" s="21">
        <f>74*Оглавление!H29</f>
        <v>44400</v>
      </c>
    </row>
    <row r="45" spans="1:12" ht="24" customHeight="1">
      <c r="A45" s="17" t="s">
        <v>322</v>
      </c>
      <c r="B45" s="48"/>
      <c r="C45" s="84" t="s">
        <v>597</v>
      </c>
      <c r="D45" s="85"/>
      <c r="E45" s="21">
        <f>60*Оглавление!H29</f>
        <v>36000</v>
      </c>
    </row>
    <row r="46" spans="1:12" ht="24" customHeight="1" thickBot="1">
      <c r="A46" s="18" t="s">
        <v>436</v>
      </c>
      <c r="B46" s="18"/>
      <c r="C46" s="84" t="s">
        <v>252</v>
      </c>
      <c r="D46" s="85"/>
      <c r="E46" s="21">
        <f>104*Оглавление!H29</f>
        <v>62400</v>
      </c>
    </row>
    <row r="47" spans="1:12" ht="16.5" customHeight="1" thickBot="1">
      <c r="A47" s="80" t="s">
        <v>245</v>
      </c>
      <c r="B47" s="81"/>
      <c r="C47" s="82"/>
      <c r="D47" s="82"/>
      <c r="E47" s="83"/>
    </row>
    <row r="48" spans="1:12" ht="20.25" customHeight="1" thickBot="1">
      <c r="A48" s="17" t="s">
        <v>437</v>
      </c>
      <c r="B48" s="47" t="s">
        <v>584</v>
      </c>
      <c r="C48" s="86" t="s">
        <v>251</v>
      </c>
      <c r="D48" s="87"/>
      <c r="E48" s="21">
        <f>1459.5*Оглавление!H29</f>
        <v>875700</v>
      </c>
    </row>
    <row r="49" spans="1:5" ht="12.75" customHeight="1" thickBot="1">
      <c r="A49" s="80" t="s">
        <v>246</v>
      </c>
      <c r="B49" s="81"/>
      <c r="C49" s="82"/>
      <c r="D49" s="82"/>
      <c r="E49" s="83"/>
    </row>
    <row r="50" spans="1:5" ht="12.75" customHeight="1">
      <c r="A50" s="24" t="s">
        <v>330</v>
      </c>
      <c r="B50" s="47"/>
      <c r="C50" s="84" t="s">
        <v>85</v>
      </c>
      <c r="D50" s="85"/>
      <c r="E50" s="21">
        <f>190*Оглавление!H29</f>
        <v>114000</v>
      </c>
    </row>
    <row r="51" spans="1:5" ht="21.6" customHeight="1">
      <c r="A51" s="16" t="s">
        <v>331</v>
      </c>
      <c r="B51" s="47"/>
      <c r="C51" s="84" t="s">
        <v>86</v>
      </c>
      <c r="D51" s="85"/>
      <c r="E51" s="21">
        <f>227*Оглавление!H29</f>
        <v>136200</v>
      </c>
    </row>
    <row r="52" spans="1:5" ht="49.95" customHeight="1" thickBot="1">
      <c r="A52" s="16" t="s">
        <v>404</v>
      </c>
      <c r="B52" s="47"/>
      <c r="C52" s="84" t="s">
        <v>212</v>
      </c>
      <c r="D52" s="85"/>
      <c r="E52" s="21">
        <f>1053.25*Оглавление!H29</f>
        <v>631950</v>
      </c>
    </row>
    <row r="53" spans="1:5" ht="12.75" customHeight="1" thickBot="1">
      <c r="C53" s="103"/>
      <c r="D53" s="91"/>
    </row>
    <row r="54" spans="1:5" ht="12.75" customHeight="1" thickBot="1">
      <c r="A54" s="99" t="s">
        <v>238</v>
      </c>
      <c r="B54" s="100"/>
      <c r="C54" s="82"/>
      <c r="D54" s="82"/>
      <c r="E54" s="83"/>
    </row>
    <row r="55" spans="1:5" ht="12.75" customHeight="1" thickBot="1">
      <c r="A55" s="29" t="s">
        <v>421</v>
      </c>
      <c r="B55" s="51"/>
      <c r="C55" s="103" t="s">
        <v>469</v>
      </c>
      <c r="D55" s="91"/>
      <c r="E55" s="21">
        <f>1189.72*Оглавление!H29</f>
        <v>713832</v>
      </c>
    </row>
    <row r="56" spans="1:5" ht="12.75" customHeight="1" thickBot="1">
      <c r="A56" s="29" t="s">
        <v>422</v>
      </c>
      <c r="B56" s="51"/>
      <c r="C56" s="103" t="s">
        <v>470</v>
      </c>
      <c r="D56" s="91"/>
      <c r="E56" s="21">
        <f>3964.1*Оглавление!H29</f>
        <v>2378460</v>
      </c>
    </row>
    <row r="57" spans="1:5" ht="12.75" customHeight="1" thickBot="1">
      <c r="A57" s="29" t="s">
        <v>423</v>
      </c>
      <c r="B57" s="51"/>
      <c r="C57" s="103" t="s">
        <v>471</v>
      </c>
      <c r="D57" s="91"/>
      <c r="E57" s="21">
        <f>4532.5*Оглавление!H29</f>
        <v>2719500</v>
      </c>
    </row>
    <row r="58" spans="1:5" ht="12.75" customHeight="1" thickBot="1">
      <c r="A58" s="29" t="s">
        <v>424</v>
      </c>
      <c r="B58" s="51"/>
      <c r="C58" s="103" t="s">
        <v>472</v>
      </c>
      <c r="D58" s="91"/>
      <c r="E58" s="21">
        <f>793.8*Оглавление!H29</f>
        <v>476280</v>
      </c>
    </row>
    <row r="59" spans="1:5" ht="12.75" customHeight="1" thickBot="1">
      <c r="A59" s="29" t="s">
        <v>425</v>
      </c>
      <c r="B59" s="51"/>
      <c r="C59" s="103" t="s">
        <v>473</v>
      </c>
      <c r="D59" s="91"/>
      <c r="E59" s="21">
        <f>907.48*Оглавление!H29</f>
        <v>544488</v>
      </c>
    </row>
    <row r="60" spans="1:5" ht="12.75" customHeight="1" thickBot="1">
      <c r="A60" s="29" t="s">
        <v>426</v>
      </c>
      <c r="B60" s="51"/>
      <c r="C60" s="103" t="s">
        <v>474</v>
      </c>
      <c r="D60" s="91"/>
      <c r="E60" s="21">
        <f>1020.18*Оглавление!H29</f>
        <v>612108</v>
      </c>
    </row>
    <row r="61" spans="1:5" ht="12.75" customHeight="1" thickBot="1">
      <c r="A61" s="29" t="s">
        <v>427</v>
      </c>
      <c r="B61" s="51"/>
      <c r="C61" s="103" t="s">
        <v>475</v>
      </c>
      <c r="D61" s="91"/>
      <c r="E61" s="21">
        <f>1020.18*Оглавление!H29</f>
        <v>612108</v>
      </c>
    </row>
    <row r="62" spans="1:5" ht="12.75" customHeight="1">
      <c r="A62" s="29" t="s">
        <v>428</v>
      </c>
      <c r="B62" s="51"/>
      <c r="C62" s="128" t="s">
        <v>476</v>
      </c>
      <c r="D62" s="93"/>
      <c r="E62" s="21">
        <f>907.48*Оглавление!H29</f>
        <v>544488</v>
      </c>
    </row>
    <row r="63" spans="1:5" ht="12.75" customHeight="1"/>
    <row r="64" spans="1:5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  <row r="1001" ht="12.75" customHeight="1"/>
    <row r="1002" ht="12.75" customHeight="1"/>
    <row r="1003" ht="12.75" customHeight="1"/>
    <row r="1004" ht="12.75" customHeight="1"/>
    <row r="1005" ht="12.75" customHeight="1"/>
    <row r="1006" ht="12.75" customHeight="1"/>
    <row r="1007" ht="12.75" customHeight="1"/>
    <row r="1008" ht="12.75" customHeight="1"/>
    <row r="1009" ht="12.75" customHeight="1"/>
    <row r="1010" ht="12.75" customHeight="1"/>
    <row r="1011" ht="12.75" customHeight="1"/>
    <row r="1012" ht="12.75" customHeight="1"/>
    <row r="1013" ht="12.75" customHeight="1"/>
    <row r="1014" ht="12.75" customHeight="1"/>
    <row r="1015" ht="12.75" customHeight="1"/>
    <row r="1016" ht="12.75" customHeight="1"/>
    <row r="1017" ht="12.75" customHeight="1"/>
    <row r="1018" ht="12.75" customHeight="1"/>
    <row r="1019" ht="12.75" customHeight="1"/>
    <row r="1020" ht="12.75" customHeight="1"/>
    <row r="1021" ht="12.75" customHeight="1"/>
    <row r="1022" ht="12.75" customHeight="1"/>
    <row r="1023" ht="12.75" customHeight="1"/>
    <row r="1024" ht="12.75" customHeight="1"/>
    <row r="1025" ht="12.75" customHeight="1"/>
    <row r="1026" ht="12.75" customHeight="1"/>
    <row r="1027" ht="12.75" customHeight="1"/>
    <row r="1028" ht="12.75" customHeight="1"/>
    <row r="1029" ht="12.75" customHeight="1"/>
    <row r="1030" ht="12.75" customHeight="1"/>
  </sheetData>
  <mergeCells count="62">
    <mergeCell ref="C59:D59"/>
    <mergeCell ref="C60:D60"/>
    <mergeCell ref="C61:D61"/>
    <mergeCell ref="C62:D62"/>
    <mergeCell ref="C53:D53"/>
    <mergeCell ref="A54:E54"/>
    <mergeCell ref="C55:D55"/>
    <mergeCell ref="C56:D56"/>
    <mergeCell ref="C57:D57"/>
    <mergeCell ref="C58:D58"/>
    <mergeCell ref="C6:D6"/>
    <mergeCell ref="C7:D7"/>
    <mergeCell ref="A1:E1"/>
    <mergeCell ref="C2:D2"/>
    <mergeCell ref="A3:E3"/>
    <mergeCell ref="C4:D4"/>
    <mergeCell ref="C5:D5"/>
    <mergeCell ref="C17:D17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C18:D18"/>
    <mergeCell ref="C19:D19"/>
    <mergeCell ref="C21:D21"/>
    <mergeCell ref="C28:D28"/>
    <mergeCell ref="A29:E29"/>
    <mergeCell ref="A20:E20"/>
    <mergeCell ref="C22:D22"/>
    <mergeCell ref="C23:D23"/>
    <mergeCell ref="C24:D24"/>
    <mergeCell ref="C25:D25"/>
    <mergeCell ref="C26:D26"/>
    <mergeCell ref="C27:D27"/>
    <mergeCell ref="C52:D52"/>
    <mergeCell ref="A49:E49"/>
    <mergeCell ref="C50:D50"/>
    <mergeCell ref="C51:D51"/>
    <mergeCell ref="C40:D40"/>
    <mergeCell ref="C46:D46"/>
    <mergeCell ref="A47:E47"/>
    <mergeCell ref="C48:D48"/>
    <mergeCell ref="A42:E42"/>
    <mergeCell ref="C43:D43"/>
    <mergeCell ref="C44:D44"/>
    <mergeCell ref="C45:D45"/>
    <mergeCell ref="C41:D41"/>
    <mergeCell ref="A35:E35"/>
    <mergeCell ref="C36:D36"/>
    <mergeCell ref="C37:D37"/>
    <mergeCell ref="A38:E38"/>
    <mergeCell ref="C39:D39"/>
    <mergeCell ref="C30:D30"/>
    <mergeCell ref="C31:D31"/>
    <mergeCell ref="C32:D32"/>
    <mergeCell ref="C33:D33"/>
    <mergeCell ref="C34:D34"/>
  </mergeCells>
  <phoneticPr fontId="15" type="noConversion"/>
  <pageMargins left="0.7" right="0.7" top="0.75" bottom="0.75" header="0" footer="0"/>
  <pageSetup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6480D6-4E4F-46FD-B57A-409A39E1C287}">
  <sheetPr>
    <tabColor theme="7" tint="0.59999389629810485"/>
  </sheetPr>
  <dimension ref="A1:E857"/>
  <sheetViews>
    <sheetView workbookViewId="0">
      <selection activeCell="I21" sqref="I21"/>
    </sheetView>
  </sheetViews>
  <sheetFormatPr defaultColWidth="14.44140625" defaultRowHeight="15" customHeight="1"/>
  <cols>
    <col min="1" max="2" width="18.44140625" customWidth="1"/>
    <col min="3" max="3" width="19.6640625" customWidth="1"/>
    <col min="4" max="4" width="78" customWidth="1"/>
    <col min="5" max="5" width="11.44140625" customWidth="1"/>
    <col min="6" max="7" width="8.88671875" customWidth="1"/>
    <col min="8" max="27" width="8" customWidth="1"/>
  </cols>
  <sheetData>
    <row r="1" spans="1:5" ht="18.600000000000001" customHeight="1" thickBot="1">
      <c r="A1" s="99" t="s">
        <v>238</v>
      </c>
      <c r="B1" s="100"/>
      <c r="C1" s="82"/>
      <c r="D1" s="82"/>
      <c r="E1" s="83"/>
    </row>
    <row r="2" spans="1:5" ht="18.600000000000001" customHeight="1" thickBot="1">
      <c r="A2" s="19" t="s">
        <v>12</v>
      </c>
      <c r="B2" s="45" t="s">
        <v>503</v>
      </c>
      <c r="C2" s="97" t="s">
        <v>502</v>
      </c>
      <c r="D2" s="98"/>
      <c r="E2" s="20" t="s">
        <v>44</v>
      </c>
    </row>
    <row r="3" spans="1:5" ht="23.4" customHeight="1" thickBot="1">
      <c r="A3" s="29" t="s">
        <v>421</v>
      </c>
      <c r="B3" s="51"/>
      <c r="C3" s="103" t="s">
        <v>469</v>
      </c>
      <c r="D3" s="91"/>
      <c r="E3" s="21">
        <f>1189.72*Оглавление!H29</f>
        <v>713832</v>
      </c>
    </row>
    <row r="4" spans="1:5" ht="18" customHeight="1" thickBot="1">
      <c r="A4" s="29" t="s">
        <v>422</v>
      </c>
      <c r="B4" s="51"/>
      <c r="C4" s="103" t="s">
        <v>470</v>
      </c>
      <c r="D4" s="91"/>
      <c r="E4" s="21">
        <f>3964.1*Оглавление!H29</f>
        <v>2378460</v>
      </c>
    </row>
    <row r="5" spans="1:5" ht="18" customHeight="1" thickBot="1">
      <c r="A5" s="29" t="s">
        <v>423</v>
      </c>
      <c r="B5" s="51"/>
      <c r="C5" s="103" t="s">
        <v>471</v>
      </c>
      <c r="D5" s="91"/>
      <c r="E5" s="21">
        <f>4532.5*Оглавление!H29</f>
        <v>2719500</v>
      </c>
    </row>
    <row r="6" spans="1:5" ht="18" customHeight="1" thickBot="1">
      <c r="A6" s="29" t="s">
        <v>424</v>
      </c>
      <c r="B6" s="51"/>
      <c r="C6" s="103" t="s">
        <v>472</v>
      </c>
      <c r="D6" s="91"/>
      <c r="E6" s="21">
        <f>793.8*Оглавление!H29</f>
        <v>476280</v>
      </c>
    </row>
    <row r="7" spans="1:5" ht="15.6" customHeight="1" thickBot="1">
      <c r="A7" s="29" t="s">
        <v>425</v>
      </c>
      <c r="B7" s="51"/>
      <c r="C7" s="103" t="s">
        <v>473</v>
      </c>
      <c r="D7" s="91"/>
      <c r="E7" s="21">
        <f>907.48*Оглавление!H29</f>
        <v>544488</v>
      </c>
    </row>
    <row r="8" spans="1:5" ht="13.2" customHeight="1" thickBot="1">
      <c r="A8" s="29" t="s">
        <v>426</v>
      </c>
      <c r="B8" s="51"/>
      <c r="C8" s="103" t="s">
        <v>474</v>
      </c>
      <c r="D8" s="91"/>
      <c r="E8" s="21">
        <f>1020.18*Оглавление!H29</f>
        <v>612108</v>
      </c>
    </row>
    <row r="9" spans="1:5" ht="16.95" customHeight="1" thickBot="1">
      <c r="A9" s="29" t="s">
        <v>427</v>
      </c>
      <c r="B9" s="51"/>
      <c r="C9" s="103" t="s">
        <v>475</v>
      </c>
      <c r="D9" s="91"/>
      <c r="E9" s="21">
        <f>1020.18*Оглавление!H29</f>
        <v>612108</v>
      </c>
    </row>
    <row r="10" spans="1:5" ht="16.95" customHeight="1" thickBot="1">
      <c r="A10" s="29" t="s">
        <v>428</v>
      </c>
      <c r="B10" s="51"/>
      <c r="C10" s="128" t="s">
        <v>476</v>
      </c>
      <c r="D10" s="93"/>
      <c r="E10" s="21">
        <f>907.48*Оглавление!H29</f>
        <v>544488</v>
      </c>
    </row>
    <row r="11" spans="1:5" ht="12.75" customHeight="1" thickBot="1">
      <c r="A11" s="121" t="s">
        <v>467</v>
      </c>
      <c r="B11" s="122"/>
      <c r="C11" s="82"/>
      <c r="D11" s="82"/>
      <c r="E11" s="83"/>
    </row>
    <row r="12" spans="1:5" ht="12.75" customHeight="1" thickBot="1">
      <c r="A12" s="29" t="s">
        <v>463</v>
      </c>
      <c r="B12" s="51"/>
      <c r="C12" s="103" t="s">
        <v>492</v>
      </c>
      <c r="D12" s="91"/>
      <c r="E12" s="21">
        <f>1364.16*Оглавление!H29</f>
        <v>818496</v>
      </c>
    </row>
    <row r="13" spans="1:5" ht="12.75" customHeight="1" thickBot="1">
      <c r="A13" s="29" t="s">
        <v>464</v>
      </c>
      <c r="B13" s="51"/>
      <c r="C13" s="103" t="s">
        <v>490</v>
      </c>
      <c r="D13" s="91"/>
      <c r="E13" s="21">
        <f>3248.7*Оглавление!H29</f>
        <v>1949220</v>
      </c>
    </row>
    <row r="14" spans="1:5" ht="12.75" customHeight="1" thickBot="1">
      <c r="A14" s="29" t="s">
        <v>465</v>
      </c>
      <c r="B14" s="51"/>
      <c r="C14" s="103" t="s">
        <v>489</v>
      </c>
      <c r="D14" s="91"/>
      <c r="E14" s="21">
        <f>4552.1*Оглавление!H29</f>
        <v>2731260</v>
      </c>
    </row>
    <row r="15" spans="1:5" ht="12.75" customHeight="1" thickBot="1">
      <c r="A15" s="39" t="s">
        <v>499</v>
      </c>
      <c r="B15" s="59"/>
      <c r="C15" s="103" t="s">
        <v>500</v>
      </c>
      <c r="D15" s="91"/>
      <c r="E15" s="21">
        <f>1364.16*Оглавление!H29</f>
        <v>818496</v>
      </c>
    </row>
    <row r="16" spans="1:5" ht="12.75" customHeight="1" thickBot="1">
      <c r="A16" s="39" t="s">
        <v>485</v>
      </c>
      <c r="B16" s="59"/>
      <c r="C16" s="103" t="s">
        <v>487</v>
      </c>
      <c r="D16" s="91"/>
      <c r="E16" s="21">
        <f>3248.7*Оглавление!H29</f>
        <v>1949220</v>
      </c>
    </row>
    <row r="17" spans="1:5" ht="12.75" customHeight="1" thickBot="1">
      <c r="A17" s="39" t="s">
        <v>486</v>
      </c>
      <c r="B17" s="59"/>
      <c r="C17" s="103" t="s">
        <v>488</v>
      </c>
      <c r="D17" s="91"/>
      <c r="E17" s="21">
        <f>4552.1*Оглавление!H29</f>
        <v>2731260</v>
      </c>
    </row>
    <row r="18" spans="1:5" ht="12.75" customHeight="1" thickBot="1">
      <c r="A18" s="121" t="s">
        <v>468</v>
      </c>
      <c r="B18" s="122"/>
      <c r="C18" s="82"/>
      <c r="D18" s="82"/>
      <c r="E18" s="83"/>
    </row>
    <row r="19" spans="1:5" ht="12.75" customHeight="1">
      <c r="A19" s="29" t="s">
        <v>462</v>
      </c>
      <c r="B19" s="51"/>
      <c r="C19" s="103" t="s">
        <v>477</v>
      </c>
      <c r="D19" s="91"/>
      <c r="E19" s="21">
        <f>1200.5*Оглавление!H29</f>
        <v>720300</v>
      </c>
    </row>
    <row r="20" spans="1:5" ht="12.75" customHeight="1"/>
    <row r="21" spans="1:5" ht="12.75" customHeight="1"/>
    <row r="22" spans="1:5" ht="12.75" customHeight="1"/>
    <row r="23" spans="1:5" ht="12.75" customHeight="1"/>
    <row r="24" spans="1:5" ht="12.75" customHeight="1"/>
    <row r="25" spans="1:5" ht="12.75" customHeight="1"/>
    <row r="26" spans="1:5" ht="12.75" customHeight="1"/>
    <row r="27" spans="1:5" ht="12.75" customHeight="1"/>
    <row r="28" spans="1:5" ht="12.75" customHeight="1"/>
    <row r="29" spans="1:5" ht="12.75" customHeight="1"/>
    <row r="30" spans="1:5" ht="12.75" customHeight="1"/>
    <row r="31" spans="1:5" ht="12.75" customHeight="1"/>
    <row r="32" spans="1:5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</sheetData>
  <mergeCells count="19">
    <mergeCell ref="C8:D8"/>
    <mergeCell ref="C9:D9"/>
    <mergeCell ref="C10:D10"/>
    <mergeCell ref="A1:E1"/>
    <mergeCell ref="C3:D3"/>
    <mergeCell ref="C5:D5"/>
    <mergeCell ref="C6:D6"/>
    <mergeCell ref="C7:D7"/>
    <mergeCell ref="C4:D4"/>
    <mergeCell ref="C2:D2"/>
    <mergeCell ref="C19:D19"/>
    <mergeCell ref="A18:E18"/>
    <mergeCell ref="A11:E11"/>
    <mergeCell ref="C12:D12"/>
    <mergeCell ref="C13:D13"/>
    <mergeCell ref="C14:D14"/>
    <mergeCell ref="C16:D16"/>
    <mergeCell ref="C17:D17"/>
    <mergeCell ref="C15:D15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17</vt:i4>
      </vt:variant>
    </vt:vector>
  </HeadingPairs>
  <TitlesOfParts>
    <vt:vector size="17" baseType="lpstr">
      <vt:lpstr>Оглавление</vt:lpstr>
      <vt:lpstr>DTC1250e</vt:lpstr>
      <vt:lpstr>DTC1500</vt:lpstr>
      <vt:lpstr>DTC4250e</vt:lpstr>
      <vt:lpstr>DTC4500e</vt:lpstr>
      <vt:lpstr>5500LMX</vt:lpstr>
      <vt:lpstr>HDP5000e</vt:lpstr>
      <vt:lpstr>HDP6600</vt:lpstr>
      <vt:lpstr>Доп. модули</vt:lpstr>
      <vt:lpstr>Печат.головки</vt:lpstr>
      <vt:lpstr>ПО Asure ID</vt:lpstr>
      <vt:lpstr>Полноцв. и монохром. ленты</vt:lpstr>
      <vt:lpstr>Несущие ленты</vt:lpstr>
      <vt:lpstr>Ламинац. ленты</vt:lpstr>
      <vt:lpstr>Чистящие комплекты</vt:lpstr>
      <vt:lpstr>Карты и наклейки</vt:lpstr>
      <vt:lpstr>Полный прайс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Aksenov</dc:creator>
  <cp:lastModifiedBy>s-gordeev@smartsecurity.kz</cp:lastModifiedBy>
  <dcterms:created xsi:type="dcterms:W3CDTF">2006-03-09T10:15:51Z</dcterms:created>
  <dcterms:modified xsi:type="dcterms:W3CDTF">2025-10-01T11:05:20Z</dcterms:modified>
</cp:coreProperties>
</file>